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0" windowWidth="15480" windowHeight="10500" activeTab="1"/>
  </bookViews>
  <sheets>
    <sheet name="Results Summary" sheetId="1" r:id="rId1"/>
    <sheet name="Race Results Data" sheetId="2" r:id="rId2"/>
    <sheet name="Hour Summary" sheetId="3" r:id="rId3"/>
    <sheet name="Hour Data" sheetId="4" r:id="rId4"/>
    <sheet name="Individual" sheetId="5" r:id="rId5"/>
    <sheet name="Custom" sheetId="6" r:id="rId6"/>
    <sheet name="Times" sheetId="7" r:id="rId7"/>
    <sheet name="Trends" sheetId="8" r:id="rId8"/>
  </sheets>
  <definedNames>
    <definedName name="solver_adj" localSheetId="4" hidden="1">'Individual'!$B$7</definedName>
    <definedName name="solver_adj" localSheetId="1" hidden="1">'Race Results Data'!#REF!</definedName>
    <definedName name="solver_cvg" localSheetId="4" hidden="1">0.0001</definedName>
    <definedName name="solver_cvg" localSheetId="1" hidden="1">0.0001</definedName>
    <definedName name="solver_drv" localSheetId="4" hidden="1">1</definedName>
    <definedName name="solver_drv" localSheetId="1" hidden="1">1</definedName>
    <definedName name="solver_eng" localSheetId="4" hidden="1">1</definedName>
    <definedName name="solver_eng" localSheetId="1" hidden="1">1</definedName>
    <definedName name="solver_est" localSheetId="4" hidden="1">1</definedName>
    <definedName name="solver_est" localSheetId="1" hidden="1">1</definedName>
    <definedName name="solver_ibd" localSheetId="4" hidden="1">2</definedName>
    <definedName name="solver_ibd" localSheetId="1" hidden="1">2</definedName>
    <definedName name="solver_itr" localSheetId="4" hidden="1">100</definedName>
    <definedName name="solver_itr" localSheetId="1" hidden="1">100</definedName>
    <definedName name="solver_lhs1" localSheetId="4" hidden="1">'Individual'!$E$3</definedName>
    <definedName name="solver_lhs1" localSheetId="1" hidden="1">'Race Results Data'!#REF!</definedName>
    <definedName name="solver_lin" localSheetId="4" hidden="1">2</definedName>
    <definedName name="solver_lin" localSheetId="1" hidden="1">2</definedName>
    <definedName name="solver_loc" localSheetId="4" hidden="1">1</definedName>
    <definedName name="solver_loc" localSheetId="1" hidden="1">1</definedName>
    <definedName name="solver_lva" localSheetId="4" hidden="1">2</definedName>
    <definedName name="solver_lva" localSheetId="1" hidden="1">2</definedName>
    <definedName name="solver_mip" localSheetId="4" hidden="1">5000</definedName>
    <definedName name="solver_mip" localSheetId="1" hidden="1">5000</definedName>
    <definedName name="solver_mni" localSheetId="4" hidden="1">30</definedName>
    <definedName name="solver_mni" localSheetId="1" hidden="1">30</definedName>
    <definedName name="solver_mrt" localSheetId="4" hidden="1">0.075</definedName>
    <definedName name="solver_mrt" localSheetId="1" hidden="1">0.075</definedName>
    <definedName name="solver_neg" localSheetId="4" hidden="1">2</definedName>
    <definedName name="solver_neg" localSheetId="1" hidden="1">2</definedName>
    <definedName name="solver_nod" localSheetId="4" hidden="1">5000</definedName>
    <definedName name="solver_nod" localSheetId="1" hidden="1">5000</definedName>
    <definedName name="solver_num" localSheetId="4" hidden="1">1</definedName>
    <definedName name="solver_num" localSheetId="1" hidden="1">1</definedName>
    <definedName name="solver_nwt" localSheetId="4" hidden="1">1</definedName>
    <definedName name="solver_nwt" localSheetId="1" hidden="1">1</definedName>
    <definedName name="solver_ofx" localSheetId="4" hidden="1">2</definedName>
    <definedName name="solver_ofx" localSheetId="1" hidden="1">2</definedName>
    <definedName name="solver_opt" localSheetId="4" hidden="1">'Individual'!$E$3</definedName>
    <definedName name="solver_opt" localSheetId="1" hidden="1">'Race Results Data'!#REF!</definedName>
    <definedName name="solver_piv" localSheetId="4" hidden="1">0.000001</definedName>
    <definedName name="solver_piv" localSheetId="1" hidden="1">0.000001</definedName>
    <definedName name="solver_pre" localSheetId="4" hidden="1">0.000001</definedName>
    <definedName name="solver_pre" localSheetId="1" hidden="1">0.000001</definedName>
    <definedName name="solver_pro" localSheetId="4" hidden="1">2</definedName>
    <definedName name="solver_pro" localSheetId="1" hidden="1">2</definedName>
    <definedName name="solver_rbv" localSheetId="4" hidden="1">1</definedName>
    <definedName name="solver_rbv" localSheetId="1" hidden="1">1</definedName>
    <definedName name="solver_red" localSheetId="4" hidden="1">0.000001</definedName>
    <definedName name="solver_red" localSheetId="1" hidden="1">0.000001</definedName>
    <definedName name="solver_rel1" localSheetId="4" hidden="1">3</definedName>
    <definedName name="solver_rel1" localSheetId="1" hidden="1">3</definedName>
    <definedName name="solver_reo" localSheetId="4" hidden="1">2</definedName>
    <definedName name="solver_reo" localSheetId="1" hidden="1">2</definedName>
    <definedName name="solver_rep" localSheetId="4" hidden="1">2</definedName>
    <definedName name="solver_rep" localSheetId="1" hidden="1">2</definedName>
    <definedName name="solver_rhs1" localSheetId="4" hidden="1">0.65</definedName>
    <definedName name="solver_rhs1" localSheetId="1" hidden="1">0.65</definedName>
    <definedName name="solver_rlx" localSheetId="4" hidden="1">2</definedName>
    <definedName name="solver_rlx" localSheetId="1" hidden="1">2</definedName>
    <definedName name="solver_scl" localSheetId="4" hidden="1">2</definedName>
    <definedName name="solver_scl" localSheetId="1" hidden="1">2</definedName>
    <definedName name="solver_sho" localSheetId="4" hidden="1">2</definedName>
    <definedName name="solver_sho" localSheetId="1" hidden="1">2</definedName>
    <definedName name="solver_ssz" localSheetId="4" hidden="1">100</definedName>
    <definedName name="solver_ssz" localSheetId="1" hidden="1">100</definedName>
    <definedName name="solver_std" localSheetId="4" hidden="1">1</definedName>
    <definedName name="solver_std" localSheetId="1" hidden="1">1</definedName>
    <definedName name="solver_tim" localSheetId="4" hidden="1">100</definedName>
    <definedName name="solver_tim" localSheetId="1" hidden="1">100</definedName>
    <definedName name="solver_tol" localSheetId="4" hidden="1">0.0005</definedName>
    <definedName name="solver_tol" localSheetId="1" hidden="1">0.0005</definedName>
    <definedName name="solver_typ" localSheetId="4" hidden="1">2</definedName>
    <definedName name="solver_typ" localSheetId="1" hidden="1">2</definedName>
    <definedName name="solver_val" localSheetId="4" hidden="1">0</definedName>
    <definedName name="solver_val" localSheetId="1" hidden="1">0</definedName>
    <definedName name="solver_ver" localSheetId="4" hidden="1">2</definedName>
    <definedName name="solver_ver" localSheetId="1" hidden="1">2</definedName>
  </definedNames>
  <calcPr fullCalcOnLoad="1"/>
</workbook>
</file>

<file path=xl/sharedStrings.xml><?xml version="1.0" encoding="utf-8"?>
<sst xmlns="http://schemas.openxmlformats.org/spreadsheetml/2006/main" count="622" uniqueCount="355">
  <si>
    <t>M1500mWalk</t>
  </si>
  <si>
    <t>MMileWalk</t>
  </si>
  <si>
    <t>M3kmWalk</t>
  </si>
  <si>
    <t>M5kmWalk</t>
  </si>
  <si>
    <t>M8kmWalk</t>
  </si>
  <si>
    <t>M10kmWalk</t>
  </si>
  <si>
    <t>M15kmWalk</t>
  </si>
  <si>
    <t>M20kmWalk</t>
  </si>
  <si>
    <t>MH.Mar.Walk</t>
  </si>
  <si>
    <t>M25kmWalk</t>
  </si>
  <si>
    <t>M30kmWalk</t>
  </si>
  <si>
    <t>M40kmWalk</t>
  </si>
  <si>
    <t>MMar.Walk</t>
  </si>
  <si>
    <t>M50kmWalk</t>
  </si>
  <si>
    <t>Race</t>
  </si>
  <si>
    <t xml:space="preserve">Inputs: </t>
  </si>
  <si>
    <t xml:space="preserve">Outputs: </t>
  </si>
  <si>
    <t xml:space="preserve">Age: </t>
  </si>
  <si>
    <t xml:space="preserve">Hours: </t>
  </si>
  <si>
    <t>Minutes:</t>
  </si>
  <si>
    <t xml:space="preserve">Seconds: </t>
  </si>
  <si>
    <t>Age Grade:</t>
  </si>
  <si>
    <t>Seconds:</t>
  </si>
  <si>
    <t>100% time:</t>
  </si>
  <si>
    <t xml:space="preserve">Race #: </t>
  </si>
  <si>
    <t xml:space="preserve">Race Numbers for the Race # formula above: </t>
  </si>
  <si>
    <t>3</t>
  </si>
  <si>
    <t>4</t>
  </si>
  <si>
    <t>5</t>
  </si>
  <si>
    <t>6</t>
  </si>
  <si>
    <t>7</t>
  </si>
  <si>
    <t>8</t>
  </si>
  <si>
    <t>9</t>
  </si>
  <si>
    <t>10</t>
  </si>
  <si>
    <t>11</t>
  </si>
  <si>
    <t>12</t>
  </si>
  <si>
    <t>13</t>
  </si>
  <si>
    <t>14</t>
  </si>
  <si>
    <t>W1500mWalk</t>
  </si>
  <si>
    <t>WMileWalk</t>
  </si>
  <si>
    <t>W3kmWalk</t>
  </si>
  <si>
    <t>W5kmWalk</t>
  </si>
  <si>
    <t>W8kmWalk</t>
  </si>
  <si>
    <t>W10kmWalk</t>
  </si>
  <si>
    <t>W15kmWalk</t>
  </si>
  <si>
    <t>W20kmWalk</t>
  </si>
  <si>
    <t>WH.Mar.Walk</t>
  </si>
  <si>
    <t>W25kmWalk</t>
  </si>
  <si>
    <t>W30kmWalk</t>
  </si>
  <si>
    <t>W40kmWalk</t>
  </si>
  <si>
    <t>WMar.Walk</t>
  </si>
  <si>
    <t>W50kmWalk</t>
  </si>
  <si>
    <t>15</t>
  </si>
  <si>
    <t>16</t>
  </si>
  <si>
    <t>17</t>
  </si>
  <si>
    <t>18</t>
  </si>
  <si>
    <t>19</t>
  </si>
  <si>
    <t>20</t>
  </si>
  <si>
    <t>21</t>
  </si>
  <si>
    <t>22</t>
  </si>
  <si>
    <t>23</t>
  </si>
  <si>
    <t>24</t>
  </si>
  <si>
    <t>25</t>
  </si>
  <si>
    <t>26</t>
  </si>
  <si>
    <t>27</t>
  </si>
  <si>
    <t>28</t>
  </si>
  <si>
    <t>Age, #</t>
  </si>
  <si>
    <t>Race check:</t>
  </si>
  <si>
    <t xml:space="preserve">Men's Races: </t>
  </si>
  <si>
    <t xml:space="preserve">Women's Races: </t>
  </si>
  <si>
    <t xml:space="preserve">sec. = </t>
  </si>
  <si>
    <t>Age Grade tables - best times (seconds) as per 2006 updated Age Grading Tables</t>
  </si>
  <si>
    <t>Rank</t>
  </si>
  <si>
    <t>Grade</t>
  </si>
  <si>
    <t>Age</t>
  </si>
  <si>
    <t>Name</t>
  </si>
  <si>
    <t>Intermediate Results</t>
  </si>
  <si>
    <t>A.G.</t>
  </si>
  <si>
    <t>Inputs</t>
  </si>
  <si>
    <t>Note: Valid ages are between 5 and 100, inclusive</t>
  </si>
  <si>
    <t>100% sec</t>
  </si>
  <si>
    <t>time Sec</t>
  </si>
  <si>
    <t>Time</t>
  </si>
  <si>
    <t>Race check</t>
  </si>
  <si>
    <t>Alex</t>
  </si>
  <si>
    <t>Nicolle</t>
  </si>
  <si>
    <t>Place</t>
  </si>
  <si>
    <t>Hr.</t>
  </si>
  <si>
    <t>Min.</t>
  </si>
  <si>
    <t>Mile Pace</t>
  </si>
  <si>
    <t>dist. (m)</t>
  </si>
  <si>
    <t>dist. (mi)</t>
  </si>
  <si>
    <t>Sec.</t>
  </si>
  <si>
    <t>Mile Pace (min, sec):</t>
  </si>
  <si>
    <t>400m pace (min, sec):</t>
  </si>
  <si>
    <t>best any age:</t>
  </si>
  <si>
    <t xml:space="preserve">Scaled Time (Hr, Min, Sec): </t>
  </si>
  <si>
    <t xml:space="preserve">Scaled Time: </t>
  </si>
  <si>
    <t>(equivalent time of a 25-yr old)</t>
  </si>
  <si>
    <t>(best time for age)</t>
  </si>
  <si>
    <t>(100% for age 25)</t>
  </si>
  <si>
    <t>Individual Age Grade Calculator - Racewalk Races (see race numbers below)</t>
  </si>
  <si>
    <t>Race Number</t>
  </si>
  <si>
    <t>First</t>
  </si>
  <si>
    <t>Last</t>
  </si>
  <si>
    <t>Price</t>
  </si>
  <si>
    <t>Goldman</t>
  </si>
  <si>
    <t>PA USATF website</t>
  </si>
  <si>
    <t>PAUSATF club list</t>
  </si>
  <si>
    <t>PAUSATF adult members list</t>
  </si>
  <si>
    <t>PAUSATF youth members list</t>
  </si>
  <si>
    <t>Team</t>
  </si>
  <si>
    <t>USATF</t>
  </si>
  <si>
    <t>PRO</t>
  </si>
  <si>
    <t>PA</t>
  </si>
  <si>
    <t xml:space="preserve">Race Information and notes (race name, date, distance, weather, etc.): </t>
  </si>
  <si>
    <r>
      <t>Race Age Grade Calculator Template</t>
    </r>
    <r>
      <rPr>
        <u val="single"/>
        <sz val="10"/>
        <rFont val="Arial"/>
        <family val="2"/>
      </rPr>
      <t xml:space="preserve"> (sexes and race length for formula tabulated below):</t>
    </r>
  </si>
  <si>
    <t>Outputs</t>
  </si>
  <si>
    <t>1km pace (min, sec):</t>
  </si>
  <si>
    <t>PA AG</t>
  </si>
  <si>
    <t>Points</t>
  </si>
  <si>
    <t xml:space="preserve">     PA Age Grade Rank will return a - unless there is the text "PA" in the USATF column.  </t>
  </si>
  <si>
    <t xml:space="preserve">     Age grade percentages based on the 2006 revision of the age grade tables (in the "Times" worksheet)</t>
  </si>
  <si>
    <r>
      <t xml:space="preserve">Notes: </t>
    </r>
    <r>
      <rPr>
        <sz val="10"/>
        <rFont val="Arial"/>
        <family val="2"/>
      </rPr>
      <t>Valid ages are between 5 and 100, inclusive</t>
    </r>
  </si>
  <si>
    <t xml:space="preserve">Race Date: </t>
  </si>
  <si>
    <t xml:space="preserve">Birthday-Age calculation template: </t>
  </si>
  <si>
    <t xml:space="preserve">Birthday: </t>
  </si>
  <si>
    <t>Age:</t>
  </si>
  <si>
    <t>Age grading of hour race: Interpolation between 2 closest distances method</t>
  </si>
  <si>
    <t>First Name</t>
  </si>
  <si>
    <t>Last Name</t>
  </si>
  <si>
    <t>Dist. (m)</t>
  </si>
  <si>
    <t>Outputs:</t>
  </si>
  <si>
    <t>Age Grade</t>
  </si>
  <si>
    <t>[sec/m]</t>
  </si>
  <si>
    <t>100% time</t>
  </si>
  <si>
    <t>pace time</t>
  </si>
  <si>
    <t>age grade</t>
  </si>
  <si>
    <t>Intermediate Results:</t>
  </si>
  <si>
    <t>Sex (m/f)</t>
  </si>
  <si>
    <t>dist (m)</t>
  </si>
  <si>
    <t>how much farther</t>
  </si>
  <si>
    <t>race length difference</t>
  </si>
  <si>
    <t>[sec/mi]</t>
  </si>
  <si>
    <t>shorter</t>
  </si>
  <si>
    <t>longer</t>
  </si>
  <si>
    <t>check</t>
  </si>
  <si>
    <t xml:space="preserve">Note: Distance walked in an hour must be between 3K and 20K, but that could be expanded by adding more cases to the if statement. </t>
  </si>
  <si>
    <t xml:space="preserve">Age grade tables from: </t>
  </si>
  <si>
    <t xml:space="preserve">Citing source information, authorship, etc.: </t>
  </si>
  <si>
    <t>http://masterstrack.com/blog/archives/000785.html</t>
  </si>
  <si>
    <t xml:space="preserve">Full excel data table at: </t>
  </si>
  <si>
    <t>http://www.masterstrack.com/news2006/agt2006.xls</t>
  </si>
  <si>
    <t xml:space="preserve">An online calculator: </t>
  </si>
  <si>
    <t>http://jick.net/%7Ejess/track/mtf/index.php</t>
  </si>
  <si>
    <t>Interpolation method suggested by Ray Sharp in 2005, presumably by others as well, including Art Klein and Bob Fine</t>
  </si>
  <si>
    <t>Age calculations and Excel lookup for age grades by Alexander Price</t>
  </si>
  <si>
    <t>Excel table calculations and formatting by Alexander Price and Jonathan Price, 2006-2007</t>
  </si>
  <si>
    <t xml:space="preserve">A method of interpolating from the 2 nearest distances to find the 100% age grade 1-hour distance could also be used, with hopefully similar results to the above interpolation method. </t>
  </si>
  <si>
    <t>Another online calculator:</t>
  </si>
  <si>
    <t>http://www.philsport.com/narf/aagegrdc06.htm</t>
  </si>
  <si>
    <t>Dist.</t>
  </si>
  <si>
    <t>PA only</t>
  </si>
  <si>
    <t>AG rank</t>
  </si>
  <si>
    <t>Berendt</t>
  </si>
  <si>
    <t>SCTC</t>
  </si>
  <si>
    <t>SRW</t>
  </si>
  <si>
    <t xml:space="preserve"> </t>
  </si>
  <si>
    <t>Age Graded %</t>
  </si>
  <si>
    <t xml:space="preserve">     PA Age Grade Rank will return a 0 unless there is the text "PA" in the USATF column.  </t>
  </si>
  <si>
    <r>
      <t xml:space="preserve">     </t>
    </r>
    <r>
      <rPr>
        <u val="single"/>
        <sz val="10"/>
        <rFont val="Arial"/>
        <family val="2"/>
      </rPr>
      <t>See the Results Summary sheet for team scores.</t>
    </r>
    <r>
      <rPr>
        <sz val="10"/>
        <rFont val="Arial"/>
        <family val="2"/>
      </rPr>
      <t xml:space="preserve">  The team score is the average of the top 3 age grades.  Grand Prix points: 1st = 10, 2nd = 8, 3rd = 7, 4th = 6, … (all teams with 3 finishers get at least 1 point)</t>
    </r>
  </si>
  <si>
    <t>Association?</t>
  </si>
  <si>
    <t>USATF Pacific</t>
  </si>
  <si>
    <t>by speed</t>
  </si>
  <si>
    <t xml:space="preserve">Age  </t>
  </si>
  <si>
    <t>Graded %</t>
  </si>
  <si>
    <t>Place by</t>
  </si>
  <si>
    <t xml:space="preserve">Race Predictor based on Age Grade: </t>
  </si>
  <si>
    <t>Race #</t>
  </si>
  <si>
    <t xml:space="preserve"> = </t>
  </si>
  <si>
    <t xml:space="preserve">100% time: </t>
  </si>
  <si>
    <t>Mile Pace (min, sec)</t>
  </si>
  <si>
    <t>400 m pace (min, sec)</t>
  </si>
  <si>
    <t>1km pace (min, sec)</t>
  </si>
  <si>
    <t>Race Check</t>
  </si>
  <si>
    <t>25-yo equiv.:</t>
  </si>
  <si>
    <t xml:space="preserve">25-yo 100%: </t>
  </si>
  <si>
    <t>Race Time: Hr, Min, Sec:</t>
  </si>
  <si>
    <t>Men's world masters racewalking records</t>
  </si>
  <si>
    <t>Women's world masters racewalking records</t>
  </si>
  <si>
    <t>American masters racewalking records</t>
  </si>
  <si>
    <t>USATF records overall lists page</t>
  </si>
  <si>
    <t xml:space="preserve">Links to Records and other useful information: </t>
  </si>
  <si>
    <t xml:space="preserve">Source and Authorship Information: </t>
  </si>
  <si>
    <t>http://jick.net/~jess/track/mtf/agt/agt2006.html</t>
  </si>
  <si>
    <t>IAAF world records (only long racewalks listed)</t>
  </si>
  <si>
    <t>Sierra</t>
  </si>
  <si>
    <t>Marin</t>
  </si>
  <si>
    <t>Karen</t>
  </si>
  <si>
    <t>Stoyanowski</t>
  </si>
  <si>
    <t>Susan</t>
  </si>
  <si>
    <t>Sex (M/F)</t>
  </si>
  <si>
    <t>Kevin</t>
  </si>
  <si>
    <t>Killingsworth</t>
  </si>
  <si>
    <t>Phyllis</t>
  </si>
  <si>
    <t>Abbate</t>
  </si>
  <si>
    <t>Helen</t>
  </si>
  <si>
    <t>Storrs</t>
  </si>
  <si>
    <t>Linda</t>
  </si>
  <si>
    <t>Burnett</t>
  </si>
  <si>
    <r>
      <t xml:space="preserve">Team Results: </t>
    </r>
    <r>
      <rPr>
        <u val="single"/>
        <sz val="10"/>
        <rFont val="Arial"/>
        <family val="2"/>
      </rPr>
      <t xml:space="preserve">Team score is the average of the top 3 age grade percentages. </t>
    </r>
  </si>
  <si>
    <t xml:space="preserve">Speed as a function of age: </t>
  </si>
  <si>
    <t>Men 3K</t>
  </si>
  <si>
    <t>Women 3K</t>
  </si>
  <si>
    <t>Men 20K</t>
  </si>
  <si>
    <t>Women 20K</t>
  </si>
  <si>
    <t>Individual Results</t>
  </si>
  <si>
    <t xml:space="preserve">Team Name Glossary: </t>
  </si>
  <si>
    <t>Marin = Marin Race Walkers</t>
  </si>
  <si>
    <t>MPWWW = Monterey Peninsula Walk Walk Walk Club</t>
  </si>
  <si>
    <t>GGRW = Golden Gate Race Walkers</t>
  </si>
  <si>
    <t>Impala = Impala Racing Team</t>
  </si>
  <si>
    <t>SSS = Silver State Striders</t>
  </si>
  <si>
    <t>SCTC = Santa Cruz Track Club</t>
  </si>
  <si>
    <t>time Min</t>
  </si>
  <si>
    <t>Pace</t>
  </si>
  <si>
    <t>Time hms</t>
  </si>
  <si>
    <t>PRO = Pacific Racewalkers Organization</t>
  </si>
  <si>
    <t xml:space="preserve">Note: Alternative method using an empirical slow down factor from Ollie Nanyes: </t>
  </si>
  <si>
    <t xml:space="preserve">Interpolation summary: Calculate pace, then calculate time for that pace of next shorter and loger races, then calculate corresponding age grades. </t>
  </si>
  <si>
    <t xml:space="preserve">     Age grade for hour race is weighted average of those two age grades, weighted more towards the race to which it is closer in length. </t>
  </si>
  <si>
    <t xml:space="preserve">Note: this calculation could be easily adapted for a 2-hour race as well. </t>
  </si>
  <si>
    <t xml:space="preserve">     Sea Level Equivalent calculation, for reference only, simply multiplies distance and age grade by (1+altitude factor).  Only accurate between 2000 and 7000 feet.  See "Altitude" worksheet. </t>
  </si>
  <si>
    <t>Pleasanton = Pleasanton Heat</t>
  </si>
  <si>
    <t>Umoja = Umoja Track Club</t>
  </si>
  <si>
    <t>Diablo = Diablo Valley Track &amp; Field Club</t>
  </si>
  <si>
    <t>Melissa</t>
  </si>
  <si>
    <t>Average Top 3</t>
  </si>
  <si>
    <t>Doris</t>
  </si>
  <si>
    <t>Cassels</t>
  </si>
  <si>
    <t>Woodburn</t>
  </si>
  <si>
    <t xml:space="preserve">And numerous other volunteers - recorder, runner, lap counters, water table, … wihtout whom this race would not have been possible. </t>
  </si>
  <si>
    <t>Race Date:</t>
  </si>
  <si>
    <t>Location:</t>
  </si>
  <si>
    <t>Distance</t>
  </si>
  <si>
    <t>(meters)</t>
  </si>
  <si>
    <t>by dist.</t>
  </si>
  <si>
    <t>LSI Sprint = LSI Sprint</t>
  </si>
  <si>
    <t>MRW = Marin Race Walkers</t>
  </si>
  <si>
    <t>SRW = Sierra Racewalkers</t>
  </si>
  <si>
    <t>F</t>
  </si>
  <si>
    <t>Lila</t>
  </si>
  <si>
    <t>Haba</t>
  </si>
  <si>
    <t>MRW</t>
  </si>
  <si>
    <t>Porth</t>
  </si>
  <si>
    <t>M</t>
  </si>
  <si>
    <t xml:space="preserve">Age Grade: </t>
  </si>
  <si>
    <t xml:space="preserve">Sex (M/F): </t>
  </si>
  <si>
    <t xml:space="preserve">Pace (m:ss/mi): </t>
  </si>
  <si>
    <t xml:space="preserve">Distance (miles): </t>
  </si>
  <si>
    <t xml:space="preserve">Time (h:mm:ss.xx): </t>
  </si>
  <si>
    <t xml:space="preserve">25yo equiv. pace: </t>
  </si>
  <si>
    <t xml:space="preserve">Race # shorter: </t>
  </si>
  <si>
    <t xml:space="preserve">Race # longer: </t>
  </si>
  <si>
    <t>Race Shorter:</t>
  </si>
  <si>
    <t xml:space="preserve">Race Longer: </t>
  </si>
  <si>
    <t xml:space="preserve">Distance diff. (mi): </t>
  </si>
  <si>
    <t>Race Dist. Short.:</t>
  </si>
  <si>
    <t>Race Dist. Long.:</t>
  </si>
  <si>
    <t xml:space="preserve">Weight for shorter: </t>
  </si>
  <si>
    <t xml:space="preserve">100% pace at dist: </t>
  </si>
  <si>
    <t xml:space="preserve">100% time at dist: </t>
  </si>
  <si>
    <t xml:space="preserve">100% time @25: </t>
  </si>
  <si>
    <t xml:space="preserve">100% pace @25: </t>
  </si>
  <si>
    <t>100% pace @25:</t>
  </si>
  <si>
    <t>m:ss/km</t>
  </si>
  <si>
    <t>=</t>
  </si>
  <si>
    <t>m:ss/400m</t>
  </si>
  <si>
    <r>
      <t xml:space="preserve">Arbitrary Distance Interpolation Algorithm (Miles Input): </t>
    </r>
    <r>
      <rPr>
        <sz val="10"/>
        <rFont val="Arial"/>
        <family val="0"/>
      </rPr>
      <t xml:space="preserve">Works for any distance between 0.94 and 31 miles. </t>
    </r>
  </si>
  <si>
    <t>Individual Age Grade Calculator - Racewalk Races - Custom Race Length Calculator</t>
  </si>
  <si>
    <t xml:space="preserve">Intermediate Results and Interpolation Calculation: </t>
  </si>
  <si>
    <t xml:space="preserve">100% pace/mi: </t>
  </si>
  <si>
    <t xml:space="preserve">25yo equiv. time: </t>
  </si>
  <si>
    <r>
      <t xml:space="preserve">Arbitrary Distance Interpolation Algorithm (Kilometers Input): </t>
    </r>
    <r>
      <rPr>
        <sz val="10"/>
        <rFont val="Arial"/>
        <family val="0"/>
      </rPr>
      <t xml:space="preserve">Works for any distance between 1.5 and 49.99 km. </t>
    </r>
  </si>
  <si>
    <t xml:space="preserve">Distance (km): </t>
  </si>
  <si>
    <t xml:space="preserve">Pace (m:ss/km): </t>
  </si>
  <si>
    <t>m:ss/mile</t>
  </si>
  <si>
    <t xml:space="preserve">Race Dist. (km): </t>
  </si>
  <si>
    <t xml:space="preserve">Race Dist. (mi): </t>
  </si>
  <si>
    <t xml:space="preserve">Distance diff. (km): </t>
  </si>
  <si>
    <t xml:space="preserve">100% pace/km: </t>
  </si>
  <si>
    <t>Diana</t>
  </si>
  <si>
    <t>Paula</t>
  </si>
  <si>
    <t>Mendell</t>
  </si>
  <si>
    <t>Ann</t>
  </si>
  <si>
    <t>Lee</t>
  </si>
  <si>
    <t>Joe</t>
  </si>
  <si>
    <t>Art</t>
  </si>
  <si>
    <t>Klein</t>
  </si>
  <si>
    <t>Ed</t>
  </si>
  <si>
    <t>Lane</t>
  </si>
  <si>
    <t>Wally</t>
  </si>
  <si>
    <t>Stewart</t>
  </si>
  <si>
    <t xml:space="preserve">Note: 2 Athletes not listed: 1 DQ, 1 raced only first half hour. </t>
  </si>
  <si>
    <t>(1st, 3rd, and 4th)</t>
  </si>
  <si>
    <t>(2nd, 6th, and 10th)</t>
  </si>
  <si>
    <t>(7th, 9th, and 11th)</t>
  </si>
  <si>
    <t xml:space="preserve">Race conditions: Cloudy with light rain most of the race, about 60 degrees, on an all-weather 400m track. </t>
  </si>
  <si>
    <t>PAUSATF One Hour Championships, San Rafael, CA,  20 March 2011</t>
  </si>
  <si>
    <t xml:space="preserve">San Rafael high school track. </t>
  </si>
  <si>
    <t xml:space="preserve">Age </t>
  </si>
  <si>
    <t>Judges: Ajay Padgaonkar (chief judge), Becky Klein, and Liesbeth Matthieu</t>
  </si>
  <si>
    <t>Sierra = Sierra Race Walkers</t>
  </si>
  <si>
    <t>Oak Hill = Oak Hill Racing</t>
  </si>
  <si>
    <t>Bill</t>
  </si>
  <si>
    <t>Penner</t>
  </si>
  <si>
    <t>Joseph</t>
  </si>
  <si>
    <t>Garland</t>
  </si>
  <si>
    <t>Murphy</t>
  </si>
  <si>
    <t>Caitlin</t>
  </si>
  <si>
    <t>Palacio</t>
  </si>
  <si>
    <t>Louise</t>
  </si>
  <si>
    <t>Walters</t>
  </si>
  <si>
    <t>Rita</t>
  </si>
  <si>
    <t>Hildreth</t>
  </si>
  <si>
    <t>Julie</t>
  </si>
  <si>
    <t>Johnson</t>
  </si>
  <si>
    <t>Rossman</t>
  </si>
  <si>
    <t>Unattached</t>
  </si>
  <si>
    <t>Adrian</t>
  </si>
  <si>
    <t>Zamudio</t>
  </si>
  <si>
    <t>Mark</t>
  </si>
  <si>
    <t>Green</t>
  </si>
  <si>
    <t>LSI = LSI Sprint</t>
  </si>
  <si>
    <t>LSI</t>
  </si>
  <si>
    <t>Other</t>
  </si>
  <si>
    <t>SSS</t>
  </si>
  <si>
    <t xml:space="preserve">The races were run separately - women first at 7:15, when it was partly cloudy and approximately 65 degrees.  Then the men at 8:10, </t>
  </si>
  <si>
    <t xml:space="preserve">when it was sunny and approximately 70 degrees.  The race was held at approximately 4500 feet elevation on an all-weather track. </t>
  </si>
  <si>
    <t xml:space="preserve">Both races were clean, with no DQ's.  </t>
  </si>
  <si>
    <t>PAUSATF 3K Championships, Reno, Nevada, August 13, 2011</t>
  </si>
  <si>
    <t>Judges: Becky Klein (chief judge for men's race), Jon Price (chief judge for women's race), Ann Gerhardt, Susan Mears, and Mark Green (women's race only).</t>
  </si>
  <si>
    <t xml:space="preserve">And numerous other volunteers - recorder, runner, lap counters, … without whom this race would not have been possible. </t>
  </si>
  <si>
    <t>S.C.</t>
  </si>
  <si>
    <t>Men</t>
  </si>
  <si>
    <t>Wm.</t>
  </si>
  <si>
    <t>M/W</t>
  </si>
  <si>
    <t>Dist</t>
  </si>
  <si>
    <t>M/F</t>
  </si>
  <si>
    <t>Authorship and Revision Notes:</t>
  </si>
  <si>
    <t xml:space="preserve">Excel spreadsheet implementation by Alex Price, February 2007.  Updated by Alex Price, August 2011, to make place column an automatically calculated output. </t>
  </si>
  <si>
    <t xml:space="preserve">Excel spreadsheet implementation by Alex Price, 2006.  </t>
  </si>
  <si>
    <t>Updated August 2010 to include error checking for invalid race numbers, which will put an "ERROR" in the age grade column</t>
  </si>
  <si>
    <t xml:space="preserve">Updated August 2011 to make Place column an automatically calculated output. </t>
  </si>
  <si>
    <t xml:space="preserve">The data below is from the August 13, 2011 3K race in Reno, Nevada, included as an example.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</si>
</sst>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000"/>
    <numFmt numFmtId="165" formatCode=".0000"/>
    <numFmt numFmtId="166" formatCode="0.0%"/>
    <numFmt numFmtId="167" formatCode="[$-409]dddd\,\ mmmm\ dd\,\ yyyy"/>
    <numFmt numFmtId="168" formatCode="0.0"/>
    <numFmt numFmtId="169" formatCode="0.0000000"/>
    <numFmt numFmtId="170" formatCode="0.000000"/>
    <numFmt numFmtId="171" formatCode="0.00000"/>
    <numFmt numFmtId="172" formatCode="0.0000"/>
    <numFmt numFmtId="173" formatCode="0.000"/>
    <numFmt numFmtId="174" formatCode="0.000%"/>
    <numFmt numFmtId="175" formatCode="&quot;Yes&quot;;&quot;Yes&quot;;&quot;No&quot;"/>
    <numFmt numFmtId="176" formatCode="&quot;True&quot;;&quot;True&quot;;&quot;False&quot;"/>
    <numFmt numFmtId="177" formatCode="&quot;On&quot;;&quot;On&quot;;&quot;Off&quot;"/>
    <numFmt numFmtId="178" formatCode="[$€-2]\ #,##0.00_);[Red]\([$€-2]\ #,##0.00\)"/>
    <numFmt numFmtId="179" formatCode="m:ss"/>
    <numFmt numFmtId="180" formatCode="m:ss.00"/>
    <numFmt numFmtId="181" formatCode="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
    <numFmt numFmtId="189" formatCode="0.000000%"/>
    <numFmt numFmtId="190" formatCode="0.00000%"/>
    <numFmt numFmtId="191" formatCode="0.0000%"/>
    <numFmt numFmtId="192" formatCode="h:mm:ss.00"/>
    <numFmt numFmtId="193" formatCode="mm:ss.00"/>
    <numFmt numFmtId="194" formatCode="m:ss.0"/>
    <numFmt numFmtId="195" formatCode="#,##0.0"/>
    <numFmt numFmtId="196" formatCode="0.0E+00"/>
    <numFmt numFmtId="197" formatCode="0E+00"/>
    <numFmt numFmtId="198" formatCode="[$-409]h:mm:ss\ AM/PM"/>
  </numFmts>
  <fonts count="53">
    <font>
      <sz val="10"/>
      <name val="Arial"/>
      <family val="0"/>
    </font>
    <font>
      <sz val="10"/>
      <name val="Times"/>
      <family val="1"/>
    </font>
    <font>
      <sz val="8"/>
      <name val="Arial"/>
      <family val="0"/>
    </font>
    <font>
      <b/>
      <sz val="10"/>
      <name val="Arial"/>
      <family val="2"/>
    </font>
    <font>
      <b/>
      <u val="single"/>
      <sz val="10"/>
      <name val="Arial"/>
      <family val="2"/>
    </font>
    <font>
      <u val="single"/>
      <sz val="10"/>
      <name val="Arial"/>
      <family val="0"/>
    </font>
    <font>
      <u val="single"/>
      <sz val="10"/>
      <name val="Times"/>
      <family val="1"/>
    </font>
    <font>
      <i/>
      <sz val="10"/>
      <name val="Arial"/>
      <family val="2"/>
    </font>
    <font>
      <u val="single"/>
      <sz val="10"/>
      <color indexed="12"/>
      <name val="Arial"/>
      <family val="0"/>
    </font>
    <font>
      <u val="single"/>
      <sz val="10"/>
      <color indexed="36"/>
      <name val="Arial"/>
      <family val="0"/>
    </font>
    <font>
      <sz val="10"/>
      <color indexed="10"/>
      <name val="Arial"/>
      <family val="0"/>
    </font>
    <font>
      <sz val="10"/>
      <color indexed="8"/>
      <name val="Arial"/>
      <family val="2"/>
    </font>
    <font>
      <sz val="10"/>
      <color indexed="8"/>
      <name val="Tahoma"/>
      <family val="2"/>
    </font>
    <font>
      <b/>
      <sz val="1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0"/>
    </font>
    <font>
      <sz val="15.5"/>
      <color indexed="8"/>
      <name val="Arial"/>
      <family val="0"/>
    </font>
    <font>
      <b/>
      <sz val="15.5"/>
      <color indexed="8"/>
      <name val="Arial"/>
      <family val="0"/>
    </font>
    <font>
      <b/>
      <sz val="16"/>
      <color indexed="8"/>
      <name val="Arial"/>
      <family val="0"/>
    </font>
    <font>
      <sz val="11"/>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9" fillId="0" borderId="0" applyNumberFormat="0" applyFill="0" applyBorder="0" applyAlignment="0" applyProtection="0"/>
    <xf numFmtId="0" fontId="42" fillId="28"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0" fillId="31" borderId="7" applyNumberFormat="0" applyFont="0" applyAlignment="0" applyProtection="0"/>
    <xf numFmtId="0" fontId="49" fillId="26"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2" fontId="0" fillId="0" borderId="0" xfId="0" applyNumberFormat="1" applyAlignment="1">
      <alignment/>
    </xf>
    <xf numFmtId="0" fontId="0" fillId="0" borderId="0" xfId="0" applyFont="1" applyAlignment="1">
      <alignment/>
    </xf>
    <xf numFmtId="0" fontId="1" fillId="0" borderId="0" xfId="0" applyFont="1" applyFill="1" applyBorder="1" applyAlignment="1">
      <alignment horizontal="center"/>
    </xf>
    <xf numFmtId="0" fontId="3"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Fill="1" applyBorder="1" applyAlignment="1">
      <alignment horizontal="right"/>
    </xf>
    <xf numFmtId="0" fontId="0" fillId="4" borderId="10" xfId="0" applyFill="1" applyBorder="1" applyAlignment="1">
      <alignment/>
    </xf>
    <xf numFmtId="0" fontId="0" fillId="4" borderId="10" xfId="0" applyNumberFormat="1" applyFill="1" applyBorder="1" applyAlignment="1">
      <alignment/>
    </xf>
    <xf numFmtId="0" fontId="0" fillId="0" borderId="0" xfId="0" applyFont="1" applyAlignment="1">
      <alignment horizontal="right"/>
    </xf>
    <xf numFmtId="10" fontId="3" fillId="32" borderId="10" xfId="59" applyNumberFormat="1" applyFont="1" applyFill="1" applyBorder="1" applyAlignment="1">
      <alignment/>
    </xf>
    <xf numFmtId="2" fontId="0" fillId="33" borderId="10" xfId="0" applyNumberFormat="1" applyFill="1" applyBorder="1" applyAlignment="1">
      <alignment/>
    </xf>
    <xf numFmtId="0" fontId="0" fillId="33" borderId="10" xfId="0" applyFill="1" applyBorder="1" applyAlignment="1">
      <alignment/>
    </xf>
    <xf numFmtId="0" fontId="0" fillId="0" borderId="0" xfId="0" applyFont="1" applyFill="1"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Alignment="1">
      <alignment/>
    </xf>
    <xf numFmtId="0" fontId="5" fillId="0" borderId="0" xfId="0" applyFont="1" applyFill="1" applyBorder="1" applyAlignment="1">
      <alignment horizontal="center"/>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xf>
    <xf numFmtId="0" fontId="6" fillId="0" borderId="0" xfId="0" applyFont="1" applyFill="1" applyBorder="1" applyAlignment="1">
      <alignment horizontal="center"/>
    </xf>
    <xf numFmtId="0" fontId="5" fillId="0" borderId="0" xfId="0" applyFont="1" applyAlignment="1">
      <alignment horizontal="left"/>
    </xf>
    <xf numFmtId="0" fontId="5" fillId="0" borderId="0" xfId="0" applyFont="1" applyFill="1" applyBorder="1" applyAlignment="1">
      <alignment horizontal="left"/>
    </xf>
    <xf numFmtId="0" fontId="0" fillId="0" borderId="0" xfId="0" applyFont="1" applyAlignment="1">
      <alignment horizontal="left"/>
    </xf>
    <xf numFmtId="10" fontId="0" fillId="0" borderId="0" xfId="59" applyNumberFormat="1" applyFont="1" applyFill="1" applyBorder="1" applyAlignment="1">
      <alignment horizontal="center"/>
    </xf>
    <xf numFmtId="173" fontId="1" fillId="0" borderId="0" xfId="0" applyNumberFormat="1" applyFont="1" applyFill="1" applyBorder="1" applyAlignment="1">
      <alignment horizontal="center"/>
    </xf>
    <xf numFmtId="0" fontId="0" fillId="32" borderId="10" xfId="0" applyFill="1" applyBorder="1" applyAlignment="1">
      <alignment/>
    </xf>
    <xf numFmtId="2" fontId="0" fillId="32" borderId="10" xfId="0" applyNumberFormat="1" applyFill="1" applyBorder="1" applyAlignment="1">
      <alignment/>
    </xf>
    <xf numFmtId="0" fontId="0" fillId="0" borderId="0" xfId="0" applyFill="1" applyBorder="1" applyAlignment="1">
      <alignment/>
    </xf>
    <xf numFmtId="2" fontId="0" fillId="4" borderId="10" xfId="0" applyNumberFormat="1" applyFill="1" applyBorder="1" applyAlignment="1">
      <alignment/>
    </xf>
    <xf numFmtId="0" fontId="7" fillId="0" borderId="0" xfId="0" applyFont="1" applyAlignment="1">
      <alignment/>
    </xf>
    <xf numFmtId="0" fontId="8" fillId="0" borderId="0" xfId="53" applyAlignment="1" applyProtection="1">
      <alignment/>
      <protection/>
    </xf>
    <xf numFmtId="0" fontId="8" fillId="0" borderId="0" xfId="53" applyFill="1" applyBorder="1" applyAlignment="1" applyProtection="1">
      <alignment horizontal="left"/>
      <protection/>
    </xf>
    <xf numFmtId="0" fontId="3" fillId="0" borderId="0" xfId="0" applyFont="1" applyFill="1" applyBorder="1" applyAlignment="1">
      <alignment horizontal="left"/>
    </xf>
    <xf numFmtId="14" fontId="0" fillId="0" borderId="0" xfId="0" applyNumberFormat="1" applyAlignment="1">
      <alignment/>
    </xf>
    <xf numFmtId="0" fontId="0" fillId="0" borderId="0" xfId="0" applyAlignment="1">
      <alignment horizontal="left"/>
    </xf>
    <xf numFmtId="0" fontId="3" fillId="4" borderId="0" xfId="0" applyFont="1" applyFill="1" applyAlignment="1">
      <alignment/>
    </xf>
    <xf numFmtId="14" fontId="0" fillId="0" borderId="0" xfId="0" applyNumberFormat="1" applyFill="1" applyBorder="1" applyAlignment="1">
      <alignment/>
    </xf>
    <xf numFmtId="172" fontId="0" fillId="0" borderId="0" xfId="0" applyNumberFormat="1" applyFont="1" applyAlignment="1">
      <alignment horizontal="right"/>
    </xf>
    <xf numFmtId="0" fontId="0" fillId="4" borderId="0" xfId="0" applyFill="1" applyAlignment="1">
      <alignment/>
    </xf>
    <xf numFmtId="2" fontId="0" fillId="0" borderId="0" xfId="0" applyNumberFormat="1" applyFont="1" applyAlignment="1">
      <alignment/>
    </xf>
    <xf numFmtId="0" fontId="5" fillId="0" borderId="0" xfId="0" applyFont="1" applyAlignment="1">
      <alignment horizontal="right"/>
    </xf>
    <xf numFmtId="14" fontId="0" fillId="0" borderId="0" xfId="0" applyNumberFormat="1" applyFill="1" applyAlignment="1">
      <alignment/>
    </xf>
    <xf numFmtId="0" fontId="0" fillId="0" borderId="0" xfId="0" applyAlignment="1">
      <alignment horizontal="right"/>
    </xf>
    <xf numFmtId="10" fontId="0" fillId="0" borderId="0" xfId="59" applyNumberFormat="1" applyFont="1" applyAlignment="1">
      <alignment horizontal="right"/>
    </xf>
    <xf numFmtId="10" fontId="0" fillId="0" borderId="0" xfId="59" applyNumberFormat="1" applyFont="1" applyAlignment="1">
      <alignment/>
    </xf>
    <xf numFmtId="0" fontId="0" fillId="32" borderId="0" xfId="0" applyFill="1" applyAlignment="1">
      <alignment horizontal="center"/>
    </xf>
    <xf numFmtId="1" fontId="0" fillId="0" borderId="0" xfId="0" applyNumberFormat="1" applyFont="1" applyAlignment="1">
      <alignment horizontal="right"/>
    </xf>
    <xf numFmtId="0" fontId="0" fillId="33" borderId="0" xfId="0" applyFill="1" applyAlignment="1">
      <alignment/>
    </xf>
    <xf numFmtId="0" fontId="0" fillId="33" borderId="0" xfId="0" applyFill="1" applyAlignment="1">
      <alignment horizontal="right"/>
    </xf>
    <xf numFmtId="0" fontId="5" fillId="0" borderId="0" xfId="0" applyFont="1" applyAlignment="1">
      <alignment horizontal="right"/>
    </xf>
    <xf numFmtId="10" fontId="0" fillId="0" borderId="0" xfId="59" applyNumberFormat="1" applyAlignment="1">
      <alignment/>
    </xf>
    <xf numFmtId="0" fontId="0" fillId="0" borderId="0" xfId="0" applyFill="1" applyAlignment="1">
      <alignment/>
    </xf>
    <xf numFmtId="0" fontId="0" fillId="0" borderId="11" xfId="0" applyBorder="1" applyAlignment="1">
      <alignment horizontal="center"/>
    </xf>
    <xf numFmtId="0" fontId="8" fillId="0" borderId="0" xfId="53" applyAlignment="1" applyProtection="1">
      <alignment horizontal="center"/>
      <protection/>
    </xf>
    <xf numFmtId="0" fontId="0" fillId="0" borderId="11" xfId="0" applyBorder="1" applyAlignment="1">
      <alignment/>
    </xf>
    <xf numFmtId="0" fontId="0" fillId="0" borderId="11" xfId="0" applyFill="1" applyBorder="1" applyAlignment="1">
      <alignment horizontal="center"/>
    </xf>
    <xf numFmtId="0" fontId="0" fillId="0" borderId="11" xfId="0" applyBorder="1" applyAlignment="1">
      <alignment horizontal="left"/>
    </xf>
    <xf numFmtId="0" fontId="4" fillId="0" borderId="0" xfId="0" applyFont="1" applyAlignment="1">
      <alignment horizontal="left"/>
    </xf>
    <xf numFmtId="10" fontId="0" fillId="0" borderId="0" xfId="0" applyNumberFormat="1" applyAlignment="1">
      <alignment horizontal="center"/>
    </xf>
    <xf numFmtId="0" fontId="0" fillId="0" borderId="0" xfId="0" applyAlignment="1" quotePrefix="1">
      <alignment horizontal="center"/>
    </xf>
    <xf numFmtId="10" fontId="0" fillId="4" borderId="10" xfId="59" applyNumberFormat="1" applyFont="1" applyFill="1" applyBorder="1" applyAlignment="1">
      <alignment/>
    </xf>
    <xf numFmtId="0" fontId="10" fillId="0" borderId="0" xfId="0" applyFont="1" applyAlignment="1">
      <alignment horizontal="left"/>
    </xf>
    <xf numFmtId="0" fontId="11" fillId="0" borderId="0" xfId="0" applyFont="1" applyAlignment="1">
      <alignment horizontal="left"/>
    </xf>
    <xf numFmtId="0" fontId="4" fillId="0" borderId="0" xfId="0" applyFont="1" applyAlignment="1">
      <alignment horizontal="center"/>
    </xf>
    <xf numFmtId="10" fontId="0" fillId="0" borderId="0" xfId="59" applyNumberFormat="1" applyFont="1" applyAlignment="1">
      <alignment horizontal="center"/>
    </xf>
    <xf numFmtId="166" fontId="0" fillId="0" borderId="0" xfId="59" applyNumberFormat="1" applyFont="1" applyAlignment="1">
      <alignment/>
    </xf>
    <xf numFmtId="0" fontId="5" fillId="0" borderId="0" xfId="0" applyFont="1" applyFill="1" applyBorder="1" applyAlignment="1">
      <alignment horizontal="right"/>
    </xf>
    <xf numFmtId="0" fontId="0" fillId="0" borderId="0" xfId="0" applyFont="1" applyAlignment="1">
      <alignment horizontal="right"/>
    </xf>
    <xf numFmtId="2" fontId="0" fillId="0" borderId="0" xfId="0" applyNumberFormat="1" applyFont="1" applyAlignment="1">
      <alignment/>
    </xf>
    <xf numFmtId="180" fontId="0" fillId="0" borderId="0" xfId="0" applyNumberFormat="1" applyFont="1" applyAlignment="1">
      <alignment horizontal="right"/>
    </xf>
    <xf numFmtId="0" fontId="5" fillId="0" borderId="0" xfId="0" applyFont="1" applyBorder="1" applyAlignment="1">
      <alignment horizontal="center"/>
    </xf>
    <xf numFmtId="0" fontId="0" fillId="4" borderId="0" xfId="0" applyFill="1" applyAlignment="1">
      <alignment horizontal="right"/>
    </xf>
    <xf numFmtId="193" fontId="0" fillId="0" borderId="0" xfId="0" applyNumberFormat="1" applyAlignment="1">
      <alignment horizontal="right"/>
    </xf>
    <xf numFmtId="180" fontId="0" fillId="0" borderId="0" xfId="0" applyNumberFormat="1" applyFont="1" applyAlignment="1">
      <alignment/>
    </xf>
    <xf numFmtId="0" fontId="0" fillId="0" borderId="11" xfId="0" applyFill="1" applyBorder="1" applyAlignment="1">
      <alignment horizontal="right"/>
    </xf>
    <xf numFmtId="0" fontId="11" fillId="0" borderId="0" xfId="0" applyFont="1" applyBorder="1" applyAlignment="1">
      <alignment horizontal="left"/>
    </xf>
    <xf numFmtId="14" fontId="0" fillId="0" borderId="11" xfId="0" applyNumberFormat="1" applyBorder="1" applyAlignment="1">
      <alignment/>
    </xf>
    <xf numFmtId="10" fontId="0" fillId="0" borderId="11" xfId="59" applyNumberFormat="1" applyFont="1" applyBorder="1" applyAlignment="1">
      <alignment horizontal="center"/>
    </xf>
    <xf numFmtId="14" fontId="12" fillId="0" borderId="0" xfId="0" applyNumberFormat="1" applyFont="1" applyAlignment="1">
      <alignment/>
    </xf>
    <xf numFmtId="0" fontId="11" fillId="0" borderId="0" xfId="0" applyFont="1" applyAlignment="1">
      <alignment/>
    </xf>
    <xf numFmtId="0" fontId="11" fillId="0" borderId="0" xfId="0" applyFont="1" applyBorder="1" applyAlignment="1">
      <alignment/>
    </xf>
    <xf numFmtId="10" fontId="0" fillId="0" borderId="0" xfId="0" applyNumberFormat="1" applyFont="1" applyAlignment="1">
      <alignment horizontal="center"/>
    </xf>
    <xf numFmtId="0" fontId="0" fillId="4" borderId="0" xfId="0" applyFont="1" applyFill="1" applyAlignment="1">
      <alignment horizontal="right"/>
    </xf>
    <xf numFmtId="10" fontId="0" fillId="0" borderId="0" xfId="59" applyNumberFormat="1" applyAlignment="1">
      <alignment horizontal="center"/>
    </xf>
    <xf numFmtId="10" fontId="0" fillId="0" borderId="11" xfId="59" applyNumberFormat="1" applyBorder="1" applyAlignment="1">
      <alignment horizontal="center"/>
    </xf>
    <xf numFmtId="1" fontId="0" fillId="0" borderId="0" xfId="0" applyNumberFormat="1" applyAlignment="1">
      <alignment horizontal="right"/>
    </xf>
    <xf numFmtId="14" fontId="0" fillId="0" borderId="0" xfId="0" applyNumberFormat="1" applyFont="1" applyAlignment="1">
      <alignment horizontal="center"/>
    </xf>
    <xf numFmtId="180" fontId="0" fillId="0" borderId="0" xfId="0" applyNumberFormat="1" applyAlignment="1">
      <alignment/>
    </xf>
    <xf numFmtId="192" fontId="0" fillId="0" borderId="0" xfId="0" applyNumberFormat="1" applyAlignment="1">
      <alignment/>
    </xf>
    <xf numFmtId="173" fontId="0" fillId="0" borderId="0" xfId="0" applyNumberFormat="1" applyAlignment="1">
      <alignment/>
    </xf>
    <xf numFmtId="173" fontId="0" fillId="0" borderId="0" xfId="0" applyNumberFormat="1" applyFont="1" applyAlignment="1">
      <alignment/>
    </xf>
    <xf numFmtId="166" fontId="0" fillId="0" borderId="0" xfId="59" applyNumberFormat="1" applyAlignment="1">
      <alignment/>
    </xf>
    <xf numFmtId="0" fontId="0" fillId="4" borderId="10" xfId="0" applyFill="1" applyBorder="1" applyAlignment="1">
      <alignment horizontal="center"/>
    </xf>
    <xf numFmtId="192" fontId="0" fillId="4" borderId="10" xfId="0" applyNumberFormat="1" applyFill="1" applyBorder="1" applyAlignment="1">
      <alignment/>
    </xf>
    <xf numFmtId="10" fontId="0" fillId="32" borderId="10" xfId="59" applyNumberFormat="1" applyFill="1" applyBorder="1" applyAlignment="1">
      <alignment/>
    </xf>
    <xf numFmtId="180" fontId="0" fillId="32" borderId="10" xfId="0" applyNumberFormat="1" applyFill="1" applyBorder="1" applyAlignment="1">
      <alignment/>
    </xf>
    <xf numFmtId="192" fontId="0" fillId="32" borderId="10" xfId="0" applyNumberFormat="1" applyFill="1" applyBorder="1" applyAlignment="1">
      <alignment/>
    </xf>
    <xf numFmtId="14" fontId="0" fillId="0" borderId="0" xfId="0" applyNumberFormat="1" applyAlignment="1">
      <alignment horizontal="left"/>
    </xf>
    <xf numFmtId="168" fontId="0" fillId="0" borderId="0" xfId="0" applyNumberFormat="1" applyAlignment="1">
      <alignment/>
    </xf>
    <xf numFmtId="168" fontId="0" fillId="0" borderId="0" xfId="0" applyNumberFormat="1" applyAlignment="1">
      <alignment horizontal="right"/>
    </xf>
    <xf numFmtId="168" fontId="0" fillId="0" borderId="0" xfId="0" applyNumberFormat="1" applyFont="1" applyAlignment="1">
      <alignment horizontal="right"/>
    </xf>
    <xf numFmtId="195" fontId="0" fillId="0" borderId="0" xfId="0" applyNumberFormat="1" applyAlignment="1">
      <alignment horizontal="right"/>
    </xf>
    <xf numFmtId="195" fontId="0" fillId="0" borderId="11" xfId="0" applyNumberFormat="1" applyBorder="1" applyAlignment="1">
      <alignment horizontal="right"/>
    </xf>
    <xf numFmtId="2" fontId="11" fillId="0" borderId="0" xfId="0" applyNumberFormat="1" applyFont="1" applyAlignment="1">
      <alignment/>
    </xf>
    <xf numFmtId="2" fontId="11" fillId="0" borderId="0" xfId="0" applyNumberFormat="1" applyFont="1" applyBorder="1" applyAlignment="1">
      <alignment/>
    </xf>
    <xf numFmtId="14" fontId="0" fillId="0" borderId="0" xfId="0" applyNumberFormat="1" applyBorder="1" applyAlignment="1">
      <alignment/>
    </xf>
    <xf numFmtId="0" fontId="0" fillId="0" borderId="0" xfId="0" applyBorder="1" applyAlignment="1">
      <alignment horizontal="center"/>
    </xf>
    <xf numFmtId="10" fontId="0" fillId="0" borderId="0" xfId="59" applyNumberFormat="1" applyFont="1" applyBorder="1" applyAlignment="1">
      <alignment horizontal="center"/>
    </xf>
    <xf numFmtId="193" fontId="0" fillId="0" borderId="0" xfId="0" applyNumberFormat="1" applyFont="1" applyAlignment="1">
      <alignment/>
    </xf>
    <xf numFmtId="193" fontId="0" fillId="0" borderId="11" xfId="0" applyNumberFormat="1" applyBorder="1" applyAlignment="1">
      <alignment horizontal="right"/>
    </xf>
    <xf numFmtId="193" fontId="0" fillId="0" borderId="0" xfId="0" applyNumberFormat="1" applyBorder="1" applyAlignment="1">
      <alignment horizontal="right"/>
    </xf>
    <xf numFmtId="0" fontId="3" fillId="33" borderId="0" xfId="0" applyFont="1" applyFill="1" applyAlignment="1">
      <alignment horizontal="left"/>
    </xf>
    <xf numFmtId="14" fontId="12" fillId="0" borderId="0" xfId="0"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horizontal="center"/>
    </xf>
    <xf numFmtId="180" fontId="0" fillId="0" borderId="0" xfId="0" applyNumberFormat="1" applyFont="1" applyBorder="1" applyAlignment="1">
      <alignment horizontal="right"/>
    </xf>
    <xf numFmtId="0" fontId="0" fillId="0" borderId="0" xfId="0" applyFont="1" applyBorder="1" applyAlignment="1">
      <alignment/>
    </xf>
    <xf numFmtId="193" fontId="0" fillId="0" borderId="0" xfId="0" applyNumberFormat="1" applyFont="1" applyBorder="1" applyAlignment="1">
      <alignment/>
    </xf>
    <xf numFmtId="0" fontId="0" fillId="0" borderId="0" xfId="0" applyFont="1" applyBorder="1" applyAlignment="1">
      <alignment horizontal="right"/>
    </xf>
    <xf numFmtId="2" fontId="0" fillId="0" borderId="0" xfId="0" applyNumberFormat="1" applyFont="1" applyBorder="1" applyAlignment="1">
      <alignment/>
    </xf>
    <xf numFmtId="0" fontId="6" fillId="0" borderId="0" xfId="0" applyFont="1" applyFill="1" applyBorder="1" applyAlignment="1">
      <alignment horizontal="right"/>
    </xf>
    <xf numFmtId="14" fontId="12" fillId="0" borderId="0" xfId="0" applyNumberFormat="1" applyFont="1" applyBorder="1" applyAlignment="1">
      <alignment/>
    </xf>
    <xf numFmtId="1" fontId="0" fillId="0" borderId="0" xfId="0" applyNumberFormat="1" applyFont="1" applyAlignment="1">
      <alignment/>
    </xf>
    <xf numFmtId="1" fontId="0" fillId="0" borderId="0" xfId="0" applyNumberFormat="1" applyFont="1" applyBorder="1" applyAlignment="1">
      <alignment/>
    </xf>
    <xf numFmtId="0" fontId="0" fillId="34" borderId="0" xfId="0" applyFont="1" applyFill="1" applyAlignment="1">
      <alignment horizontal="right"/>
    </xf>
    <xf numFmtId="0" fontId="3" fillId="34" borderId="0" xfId="0" applyFont="1" applyFill="1" applyAlignment="1">
      <alignment/>
    </xf>
    <xf numFmtId="14" fontId="0" fillId="0" borderId="0" xfId="0" applyNumberFormat="1" applyFont="1" applyAlignment="1">
      <alignment horizontal="left"/>
    </xf>
    <xf numFmtId="0" fontId="13"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3" fillId="33" borderId="0" xfId="0" applyFont="1" applyFill="1" applyAlignment="1">
      <alignment horizontal="center"/>
    </xf>
    <xf numFmtId="0" fontId="0" fillId="0" borderId="11" xfId="0" applyBorder="1" applyAlignment="1">
      <alignment horizontal="center"/>
    </xf>
    <xf numFmtId="0" fontId="3" fillId="4" borderId="0" xfId="0" applyFont="1" applyFill="1" applyBorder="1" applyAlignment="1">
      <alignment horizontal="center"/>
    </xf>
    <xf numFmtId="0" fontId="3" fillId="32" borderId="0" xfId="0" applyFont="1" applyFill="1" applyAlignment="1">
      <alignment horizontal="center"/>
    </xf>
    <xf numFmtId="0" fontId="3" fillId="33" borderId="0" xfId="0" applyFont="1" applyFill="1" applyAlignment="1">
      <alignment horizontal="left"/>
    </xf>
    <xf numFmtId="0" fontId="5"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Racewalking Speed vs. Age</a:t>
            </a:r>
          </a:p>
        </c:rich>
      </c:tx>
      <c:layout>
        <c:manualLayout>
          <c:xMode val="factor"/>
          <c:yMode val="factor"/>
          <c:x val="0.00225"/>
          <c:y val="0"/>
        </c:manualLayout>
      </c:layout>
      <c:spPr>
        <a:noFill/>
        <a:ln>
          <a:noFill/>
        </a:ln>
      </c:spPr>
    </c:title>
    <c:plotArea>
      <c:layout>
        <c:manualLayout>
          <c:xMode val="edge"/>
          <c:yMode val="edge"/>
          <c:x val="0.043"/>
          <c:y val="0.079"/>
          <c:w val="0.93875"/>
          <c:h val="0.8655"/>
        </c:manualLayout>
      </c:layout>
      <c:scatterChart>
        <c:scatterStyle val="lineMarker"/>
        <c:varyColors val="0"/>
        <c:ser>
          <c:idx val="0"/>
          <c:order val="0"/>
          <c:tx>
            <c:strRef>
              <c:f>Trends!$B$2</c:f>
              <c:strCache>
                <c:ptCount val="1"/>
                <c:pt idx="0">
                  <c:v>Men 3K</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Trends!$B$3:$B$98</c:f>
              <c:numCache/>
            </c:numRef>
          </c:yVal>
          <c:smooth val="0"/>
        </c:ser>
        <c:ser>
          <c:idx val="1"/>
          <c:order val="1"/>
          <c:tx>
            <c:strRef>
              <c:f>Trends!$C$2</c:f>
              <c:strCache>
                <c:ptCount val="1"/>
                <c:pt idx="0">
                  <c:v>Men 20K</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Trends!$C$3:$C$98</c:f>
              <c:numCache/>
            </c:numRef>
          </c:yVal>
          <c:smooth val="0"/>
        </c:ser>
        <c:ser>
          <c:idx val="2"/>
          <c:order val="2"/>
          <c:tx>
            <c:strRef>
              <c:f>Trends!$D$2</c:f>
              <c:strCache>
                <c:ptCount val="1"/>
                <c:pt idx="0">
                  <c:v>Women 3K</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Trends!$D$3:$D$98</c:f>
              <c:numCache/>
            </c:numRef>
          </c:yVal>
          <c:smooth val="0"/>
        </c:ser>
        <c:ser>
          <c:idx val="3"/>
          <c:order val="3"/>
          <c:tx>
            <c:strRef>
              <c:f>Trends!$E$2</c:f>
              <c:strCache>
                <c:ptCount val="1"/>
                <c:pt idx="0">
                  <c:v>Women 20K</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Trends!$A$3:$A$98</c:f>
              <c:numCache/>
            </c:numRef>
          </c:xVal>
          <c:yVal>
            <c:numRef>
              <c:f>Trends!$E$3:$E$98</c:f>
              <c:numCache/>
            </c:numRef>
          </c:yVal>
          <c:smooth val="0"/>
        </c:ser>
        <c:axId val="4881231"/>
        <c:axId val="43931080"/>
      </c:scatterChart>
      <c:valAx>
        <c:axId val="4881231"/>
        <c:scaling>
          <c:orientation val="minMax"/>
          <c:max val="100"/>
        </c:scaling>
        <c:axPos val="b"/>
        <c:title>
          <c:tx>
            <c:rich>
              <a:bodyPr vert="horz" rot="0" anchor="ctr"/>
              <a:lstStyle/>
              <a:p>
                <a:pPr algn="ctr">
                  <a:defRPr/>
                </a:pPr>
                <a:r>
                  <a:rPr lang="en-US" cap="none" sz="1550" b="1" i="0" u="none" baseline="0">
                    <a:solidFill>
                      <a:srgbClr val="000000"/>
                    </a:solidFill>
                    <a:latin typeface="Arial"/>
                    <a:ea typeface="Arial"/>
                    <a:cs typeface="Arial"/>
                  </a:rPr>
                  <a:t>Age</a:t>
                </a:r>
              </a:p>
            </c:rich>
          </c:tx>
          <c:layout>
            <c:manualLayout>
              <c:xMode val="factor"/>
              <c:yMode val="factor"/>
              <c:x val="-0.009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crossAx val="43931080"/>
        <c:crosses val="autoZero"/>
        <c:crossBetween val="midCat"/>
        <c:dispUnits/>
        <c:majorUnit val="10"/>
      </c:valAx>
      <c:valAx>
        <c:axId val="43931080"/>
        <c:scaling>
          <c:orientation val="minMax"/>
          <c:max val="1.05"/>
          <c:min val="0.2"/>
        </c:scaling>
        <c:axPos val="l"/>
        <c:title>
          <c:tx>
            <c:rich>
              <a:bodyPr vert="horz" rot="-5400000" anchor="ctr"/>
              <a:lstStyle/>
              <a:p>
                <a:pPr algn="ctr">
                  <a:defRPr/>
                </a:pPr>
                <a:r>
                  <a:rPr lang="en-US" cap="none" sz="1550" b="1" i="0" u="none" baseline="0">
                    <a:solidFill>
                      <a:srgbClr val="000000"/>
                    </a:solidFill>
                    <a:latin typeface="Arial"/>
                    <a:ea typeface="Arial"/>
                    <a:cs typeface="Arial"/>
                  </a:rPr>
                  <a:t>Speed</a:t>
                </a:r>
              </a:p>
            </c:rich>
          </c:tx>
          <c:layout>
            <c:manualLayout>
              <c:xMode val="factor"/>
              <c:yMode val="factor"/>
              <c:x val="-0.01675"/>
              <c:y val="0"/>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crossAx val="4881231"/>
        <c:crosses val="autoZero"/>
        <c:crossBetween val="midCat"/>
        <c:dispUnits/>
        <c:majorUnit val="0.1"/>
      </c:valAx>
      <c:spPr>
        <a:noFill/>
        <a:ln w="3175">
          <a:solidFill>
            <a:srgbClr val="000000"/>
          </a:solidFill>
        </a:ln>
      </c:spPr>
    </c:plotArea>
    <c:legend>
      <c:legendPos val="r"/>
      <c:layout>
        <c:manualLayout>
          <c:xMode val="edge"/>
          <c:yMode val="edge"/>
          <c:x val="0.81025"/>
          <c:y val="0.1275"/>
          <c:w val="0.13675"/>
          <c:h val="0.133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39</xdr:row>
      <xdr:rowOff>85725</xdr:rowOff>
    </xdr:from>
    <xdr:to>
      <xdr:col>7</xdr:col>
      <xdr:colOff>428625</xdr:colOff>
      <xdr:row>56</xdr:row>
      <xdr:rowOff>66675</xdr:rowOff>
    </xdr:to>
    <xdr:sp>
      <xdr:nvSpPr>
        <xdr:cNvPr id="1" name="Text Box 2"/>
        <xdr:cNvSpPr txBox="1">
          <a:spLocks noChangeArrowheads="1"/>
        </xdr:cNvSpPr>
      </xdr:nvSpPr>
      <xdr:spPr>
        <a:xfrm>
          <a:off x="66675" y="6286500"/>
          <a:ext cx="5000625" cy="2733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Date: Fri, 21 Oct 2005  - ollie nanyes &lt;ollienanyes@prodigy.net&gt;
</a:t>
          </a:r>
          <a:r>
            <a:rPr lang="en-US" cap="none" sz="1000" b="0" i="0" u="none" baseline="0">
              <a:solidFill>
                <a:srgbClr val="000000"/>
              </a:solidFill>
              <a:latin typeface="Arial"/>
              <a:ea typeface="Arial"/>
              <a:cs typeface="Arial"/>
            </a:rPr>
            <a:t>Subject: Age grading the 1 hour walk.
</a:t>
          </a:r>
          <a:r>
            <a:rPr lang="en-US" cap="none" sz="1000" b="0" i="0" u="none" baseline="0">
              <a:solidFill>
                <a:srgbClr val="000000"/>
              </a:solidFill>
              <a:latin typeface="Arial"/>
              <a:ea typeface="Arial"/>
              <a:cs typeface="Arial"/>
            </a:rPr>
            <a:t>The age grading tables works the following way:  
</a:t>
          </a:r>
          <a:r>
            <a:rPr lang="en-US" cap="none" sz="1000" b="0" i="0" u="none" baseline="0">
              <a:solidFill>
                <a:srgbClr val="000000"/>
              </a:solidFill>
              <a:latin typeface="Arial"/>
              <a:ea typeface="Arial"/>
              <a:cs typeface="Arial"/>
            </a:rPr>
            <a:t>(distance actually covered)/(distance of the WR of the age group)
</a:t>
          </a:r>
          <a:r>
            <a:rPr lang="en-US" cap="none" sz="1000" b="0" i="0" u="none" baseline="0">
              <a:solidFill>
                <a:srgbClr val="000000"/>
              </a:solidFill>
              <a:latin typeface="Arial"/>
              <a:ea typeface="Arial"/>
              <a:cs typeface="Arial"/>
            </a:rPr>
            <a:t>Now we don't have the "distance of the WR of the age group", but that can be easily obtained.  Denote this variable by DWR a) Find the distance at which the world record is closest to 1 hour (say, 10K for some age groups, 8K for others, 15km for still others) b) For that age group, DWR = T(60/(world record time)^(1/1.04)
</a:t>
          </a:r>
          <a:r>
            <a:rPr lang="en-US" cap="none" sz="1000" b="0" i="0" u="none" baseline="0">
              <a:solidFill>
                <a:srgbClr val="000000"/>
              </a:solidFill>
              <a:latin typeface="Arial"/>
              <a:ea typeface="Arial"/>
              <a:cs typeface="Arial"/>
            </a:rPr>
            <a:t> example:  say the world record for an age group for 15km is 1:01 =61 minutes.
</a:t>
          </a:r>
          <a:r>
            <a:rPr lang="en-US" cap="none" sz="1000" b="0" i="0" u="none" baseline="0">
              <a:solidFill>
                <a:srgbClr val="000000"/>
              </a:solidFill>
              <a:latin typeface="Arial"/>
              <a:ea typeface="Arial"/>
              <a:cs typeface="Arial"/>
            </a:rPr>
            <a:t>Then for that age group, DWR = 15*(60/61)^(1/1.04) = 14.76 km, and someone who walked 12 km in 1 hour would get a 12/14.76 = .813 or 81.3%.
</a:t>
          </a:r>
          <a:r>
            <a:rPr lang="en-US" cap="none" sz="1000" b="0" i="0" u="none" baseline="0">
              <a:solidFill>
                <a:srgbClr val="000000"/>
              </a:solidFill>
              <a:latin typeface="Arial"/>
              <a:ea typeface="Arial"/>
              <a:cs typeface="Arial"/>
            </a:rPr>
            <a:t> This is based on the slow down curves for walking having an exponential factor of 1.04.
</a:t>
          </a:r>
          <a:r>
            <a:rPr lang="en-US" cap="none" sz="1000" b="0" i="0" u="none" baseline="0">
              <a:solidFill>
                <a:srgbClr val="000000"/>
              </a:solidFill>
              <a:latin typeface="Arial"/>
              <a:ea typeface="Arial"/>
              <a:cs typeface="Arial"/>
            </a:rPr>
            <a:t> (say someone walks a 21 minute 5K; this factor would predict 
</a:t>
          </a:r>
          <a:r>
            <a:rPr lang="en-US" cap="none" sz="1000" b="0" i="0" u="none" baseline="0">
              <a:solidFill>
                <a:srgbClr val="000000"/>
              </a:solidFill>
              <a:latin typeface="Arial"/>
              <a:ea typeface="Arial"/>
              <a:cs typeface="Arial"/>
            </a:rPr>
            <a:t>21*(50/5)^1.04 = 230.26 = 3:50 for the 50K walk).
</a:t>
          </a:r>
          <a:r>
            <a:rPr lang="en-US" cap="none" sz="1000" b="0" i="0" u="none" baseline="0">
              <a:solidFill>
                <a:srgbClr val="000000"/>
              </a:solidFill>
              <a:latin typeface="Arial"/>
              <a:ea typeface="Arial"/>
              <a:cs typeface="Arial"/>
            </a:rPr>
            <a:t> A 20 minute 5K would predict a 20*(10)^1.04 = 3:39 for the 50K walk.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1</xdr:row>
      <xdr:rowOff>28575</xdr:rowOff>
    </xdr:from>
    <xdr:to>
      <xdr:col>19</xdr:col>
      <xdr:colOff>561975</xdr:colOff>
      <xdr:row>44</xdr:row>
      <xdr:rowOff>19050</xdr:rowOff>
    </xdr:to>
    <xdr:graphicFrame>
      <xdr:nvGraphicFramePr>
        <xdr:cNvPr id="1" name="Chart 1"/>
        <xdr:cNvGraphicFramePr/>
      </xdr:nvGraphicFramePr>
      <xdr:xfrm>
        <a:off x="3733800" y="190500"/>
        <a:ext cx="8924925" cy="6953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world-masters-athletics.org/records_output/rec_list_racewalk_m.php" TargetMode="External" /><Relationship Id="rId2" Type="http://schemas.openxmlformats.org/officeDocument/2006/relationships/hyperlink" Target="http://www.world-masters-athletics.org/records_output/rec_list_racewalk_w.php" TargetMode="External" /><Relationship Id="rId3" Type="http://schemas.openxmlformats.org/officeDocument/2006/relationships/hyperlink" Target="http://www.usatf.org/groups/Masters/statistics.asp" TargetMode="External" /><Relationship Id="rId4" Type="http://schemas.openxmlformats.org/officeDocument/2006/relationships/hyperlink" Target="http://www.usatf.org/statistics/records/" TargetMode="External" /><Relationship Id="rId5" Type="http://schemas.openxmlformats.org/officeDocument/2006/relationships/hyperlink" Target="http://www.masterstrack.com/news2006/agt2006.xls" TargetMode="External" /><Relationship Id="rId6" Type="http://schemas.openxmlformats.org/officeDocument/2006/relationships/hyperlink" Target="http://masterstrack.com/blog/archives/000785.html" TargetMode="External" /><Relationship Id="rId7" Type="http://schemas.openxmlformats.org/officeDocument/2006/relationships/hyperlink" Target="http://jick.net/~jess/track/mtf/index.php" TargetMode="External" /><Relationship Id="rId8" Type="http://schemas.openxmlformats.org/officeDocument/2006/relationships/hyperlink" Target="http://www.philsport.com/narf/aagegrdc06.htm" TargetMode="External" /><Relationship Id="rId9" Type="http://schemas.openxmlformats.org/officeDocument/2006/relationships/hyperlink" Target="http://www.usatf.org/assoc/pacific/data/ClubList.asp" TargetMode="External" /><Relationship Id="rId10" Type="http://schemas.openxmlformats.org/officeDocument/2006/relationships/hyperlink" Target="http://www.pausatf.org/" TargetMode="External" /><Relationship Id="rId11" Type="http://schemas.openxmlformats.org/officeDocument/2006/relationships/hyperlink" Target="http://www.usatf.org/assoc/Pacific/data/members.asp?page=adult" TargetMode="External" /><Relationship Id="rId12" Type="http://schemas.openxmlformats.org/officeDocument/2006/relationships/hyperlink" Target="http://www.usatf.org/assoc/Pacific/data/members.asp?page=youth" TargetMode="External" /><Relationship Id="rId13" Type="http://schemas.openxmlformats.org/officeDocument/2006/relationships/hyperlink" Target="http://jick.net/~jess/track/mtf/agt/agt2006.html" TargetMode="External" /><Relationship Id="rId14" Type="http://schemas.openxmlformats.org/officeDocument/2006/relationships/hyperlink" Target="http://www.iaaf.org/statistics/records/" TargetMode="External" /><Relationship Id="rId1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8"/>
  <sheetViews>
    <sheetView zoomScalePageLayoutView="0" workbookViewId="0" topLeftCell="A1">
      <selection activeCell="A19" sqref="A19"/>
    </sheetView>
  </sheetViews>
  <sheetFormatPr defaultColWidth="9.140625" defaultRowHeight="12.75"/>
  <cols>
    <col min="1" max="1" width="11.28125" style="0" customWidth="1"/>
    <col min="2" max="2" width="14.57421875" style="0" customWidth="1"/>
    <col min="3" max="3" width="9.00390625" style="19" customWidth="1"/>
    <col min="4" max="4" width="9.57421875" style="19" customWidth="1"/>
    <col min="5" max="5" width="12.7109375" style="46" customWidth="1"/>
    <col min="6" max="6" width="13.7109375" style="19" customWidth="1"/>
    <col min="7" max="7" width="9.28125" style="19" customWidth="1"/>
    <col min="8" max="8" width="10.00390625" style="19" customWidth="1"/>
    <col min="9" max="9" width="10.8515625" style="19" customWidth="1"/>
    <col min="10" max="10" width="13.28125" style="19" bestFit="1" customWidth="1"/>
  </cols>
  <sheetData>
    <row r="1" spans="1:10" ht="28.5" customHeight="1">
      <c r="A1" s="131" t="s">
        <v>340</v>
      </c>
      <c r="B1" s="131"/>
      <c r="C1" s="131"/>
      <c r="D1" s="131"/>
      <c r="E1" s="131"/>
      <c r="F1" s="131"/>
      <c r="G1" s="131"/>
      <c r="H1" s="131"/>
      <c r="I1" s="131"/>
      <c r="J1" s="131"/>
    </row>
    <row r="3" spans="1:5" ht="12.75">
      <c r="A3" s="61" t="s">
        <v>216</v>
      </c>
      <c r="E3" s="19"/>
    </row>
    <row r="4" spans="2:10" ht="12.75">
      <c r="B4" s="38"/>
      <c r="E4" s="19"/>
      <c r="F4" s="19" t="s">
        <v>172</v>
      </c>
      <c r="H4" s="19" t="s">
        <v>86</v>
      </c>
      <c r="I4" s="19" t="s">
        <v>174</v>
      </c>
      <c r="J4" s="19" t="s">
        <v>176</v>
      </c>
    </row>
    <row r="5" spans="1:10" ht="12.75">
      <c r="A5" s="60" t="s">
        <v>129</v>
      </c>
      <c r="B5" s="60" t="s">
        <v>130</v>
      </c>
      <c r="C5" s="56" t="s">
        <v>74</v>
      </c>
      <c r="D5" s="56" t="s">
        <v>201</v>
      </c>
      <c r="E5" s="56" t="s">
        <v>111</v>
      </c>
      <c r="F5" s="59" t="s">
        <v>171</v>
      </c>
      <c r="G5" s="78" t="s">
        <v>82</v>
      </c>
      <c r="H5" s="56" t="s">
        <v>173</v>
      </c>
      <c r="I5" s="56" t="s">
        <v>175</v>
      </c>
      <c r="J5" s="59" t="s">
        <v>168</v>
      </c>
    </row>
    <row r="6" spans="1:10" ht="12.75">
      <c r="A6" s="37" t="str">
        <f>'Race Results Data'!B8</f>
        <v>Mark</v>
      </c>
      <c r="B6" s="37" t="str">
        <f>'Race Results Data'!C8</f>
        <v>Green</v>
      </c>
      <c r="C6" s="19">
        <f>'Race Results Data'!D8</f>
        <v>55</v>
      </c>
      <c r="D6" s="19" t="str">
        <f>IF('Race Results Data'!A8&gt;15,"F","M")</f>
        <v>M</v>
      </c>
      <c r="E6" s="19" t="str">
        <f>'Race Results Data'!E8</f>
        <v>Unattached</v>
      </c>
      <c r="F6" s="19" t="str">
        <f>IF('Race Results Data'!F8="PA","yes","no")</f>
        <v>no</v>
      </c>
      <c r="G6" s="76">
        <f>'Race Results Data'!W8</f>
        <v>0.010571759259259258</v>
      </c>
      <c r="H6" s="19" t="str">
        <f>'Race Results Data'!J8</f>
        <v>M1</v>
      </c>
      <c r="I6" s="68">
        <f>'Race Results Data'!K8</f>
        <v>0.826505364571929</v>
      </c>
      <c r="J6" s="19">
        <f>'Race Results Data'!L8</f>
        <v>2</v>
      </c>
    </row>
    <row r="7" spans="1:10" ht="12.75">
      <c r="A7" s="37" t="str">
        <f>'Race Results Data'!B9</f>
        <v>Alex</v>
      </c>
      <c r="B7" s="37" t="str">
        <f>'Race Results Data'!C9</f>
        <v>Price</v>
      </c>
      <c r="C7" s="19">
        <f>'Race Results Data'!D9</f>
        <v>29</v>
      </c>
      <c r="D7" s="19" t="str">
        <f>IF('Race Results Data'!A9&gt;15,"F","M")</f>
        <v>M</v>
      </c>
      <c r="E7" s="19" t="str">
        <f>'Race Results Data'!E9</f>
        <v>PRO</v>
      </c>
      <c r="F7" s="19" t="str">
        <f>IF('Race Results Data'!F9="PA","yes","no")</f>
        <v>yes</v>
      </c>
      <c r="G7" s="76">
        <f>'Race Results Data'!W9</f>
        <v>0.011356597222222223</v>
      </c>
      <c r="H7" s="19" t="str">
        <f>'Race Results Data'!J9</f>
        <v>M2</v>
      </c>
      <c r="I7" s="68">
        <f>'Race Results Data'!K9</f>
        <v>0.6443472854944405</v>
      </c>
      <c r="J7" s="19">
        <f>'Race Results Data'!L9</f>
        <v>11</v>
      </c>
    </row>
    <row r="8" spans="1:10" ht="12.75">
      <c r="A8" s="37" t="str">
        <f>'Race Results Data'!B10</f>
        <v>Joseph</v>
      </c>
      <c r="B8" s="37" t="str">
        <f>'Race Results Data'!C10</f>
        <v>Berendt</v>
      </c>
      <c r="C8" s="19">
        <f>'Race Results Data'!D10</f>
        <v>56</v>
      </c>
      <c r="D8" s="19" t="str">
        <f>IF('Race Results Data'!A10&gt;15,"F","M")</f>
        <v>M</v>
      </c>
      <c r="E8" s="19" t="str">
        <f>'Race Results Data'!E10</f>
        <v>Sierra</v>
      </c>
      <c r="F8" s="19" t="str">
        <f>IF('Race Results Data'!F10="PA","yes","no")</f>
        <v>yes</v>
      </c>
      <c r="G8" s="76">
        <f>'Race Results Data'!W10</f>
        <v>0.012300231481481481</v>
      </c>
      <c r="H8" s="19" t="str">
        <f>'Race Results Data'!J10</f>
        <v>M3</v>
      </c>
      <c r="I8" s="68">
        <f>'Race Results Data'!K10</f>
        <v>0.7167886783220732</v>
      </c>
      <c r="J8" s="19">
        <f>'Race Results Data'!L10</f>
        <v>7</v>
      </c>
    </row>
    <row r="9" spans="1:10" ht="12.75">
      <c r="A9" s="37" t="str">
        <f>'Race Results Data'!B11</f>
        <v>Adrian</v>
      </c>
      <c r="B9" s="37" t="str">
        <f>'Race Results Data'!C11</f>
        <v>Zamudio</v>
      </c>
      <c r="C9" s="19">
        <f>'Race Results Data'!D11</f>
        <v>35</v>
      </c>
      <c r="D9" s="19" t="str">
        <f>IF('Race Results Data'!A11&gt;15,"F","M")</f>
        <v>M</v>
      </c>
      <c r="E9" s="19" t="str">
        <f>'Race Results Data'!E11</f>
        <v>Unattached</v>
      </c>
      <c r="F9" s="19" t="str">
        <f>IF('Race Results Data'!F11="PA","yes","no")</f>
        <v>no</v>
      </c>
      <c r="G9" s="76">
        <f>'Race Results Data'!W11</f>
        <v>0.01254513888888889</v>
      </c>
      <c r="H9" s="19" t="str">
        <f>'Race Results Data'!J11</f>
        <v>M4</v>
      </c>
      <c r="I9" s="68">
        <f>'Race Results Data'!K11</f>
        <v>0.5944921118184334</v>
      </c>
      <c r="J9" s="19">
        <f>'Race Results Data'!L11</f>
        <v>12</v>
      </c>
    </row>
    <row r="10" spans="1:10" ht="12.75">
      <c r="A10" s="37" t="str">
        <f>'Race Results Data'!B12</f>
        <v>Bill</v>
      </c>
      <c r="B10" s="37" t="str">
        <f>'Race Results Data'!C12</f>
        <v>Penner</v>
      </c>
      <c r="C10" s="19">
        <f>'Race Results Data'!D12</f>
        <v>64</v>
      </c>
      <c r="D10" s="19" t="str">
        <f>IF('Race Results Data'!A12&gt;15,"F","M")</f>
        <v>M</v>
      </c>
      <c r="E10" s="19" t="str">
        <f>'Race Results Data'!E12</f>
        <v>PRO</v>
      </c>
      <c r="F10" s="19" t="str">
        <f>IF('Race Results Data'!F12="PA","yes","no")</f>
        <v>yes</v>
      </c>
      <c r="G10" s="76">
        <f>'Race Results Data'!W12</f>
        <v>0.012909374999999999</v>
      </c>
      <c r="H10" s="19" t="str">
        <f>'Race Results Data'!J12</f>
        <v>M5</v>
      </c>
      <c r="I10" s="68">
        <f>'Race Results Data'!K12</f>
        <v>0.7392345141074262</v>
      </c>
      <c r="J10" s="19">
        <f>'Race Results Data'!L12</f>
        <v>5</v>
      </c>
    </row>
    <row r="11" spans="1:10" ht="12.75">
      <c r="A11" s="80" t="str">
        <f>'Race Results Data'!B13</f>
        <v>Garland</v>
      </c>
      <c r="B11" s="80" t="str">
        <f>'Race Results Data'!C13</f>
        <v>Murphy</v>
      </c>
      <c r="C11" s="56">
        <f>'Race Results Data'!D13</f>
        <v>63</v>
      </c>
      <c r="D11" s="56" t="str">
        <f>IF('Race Results Data'!A13&gt;15,"F","M")</f>
        <v>M</v>
      </c>
      <c r="E11" s="56" t="str">
        <f>'Race Results Data'!E13</f>
        <v>Marin</v>
      </c>
      <c r="F11" s="56" t="str">
        <f>IF('Race Results Data'!F13="PA","yes","no")</f>
        <v>yes</v>
      </c>
      <c r="G11" s="113">
        <f>'Race Results Data'!W13</f>
        <v>0.01613449074074074</v>
      </c>
      <c r="H11" s="56" t="str">
        <f>'Race Results Data'!J13</f>
        <v>M6</v>
      </c>
      <c r="I11" s="81">
        <f>'Race Results Data'!K13</f>
        <v>0.5852785469361989</v>
      </c>
      <c r="J11" s="56">
        <f>'Race Results Data'!L13</f>
        <v>13</v>
      </c>
    </row>
    <row r="12" spans="1:10" ht="12.75">
      <c r="A12" s="109" t="str">
        <f>'Race Results Data'!B14</f>
        <v>Caitlin</v>
      </c>
      <c r="B12" s="109" t="str">
        <f>'Race Results Data'!C14</f>
        <v>Palacio</v>
      </c>
      <c r="C12" s="110">
        <f>'Race Results Data'!D14</f>
        <v>13</v>
      </c>
      <c r="D12" s="110" t="str">
        <f>IF('Race Results Data'!A14&gt;15,"F","M")</f>
        <v>F</v>
      </c>
      <c r="E12" s="110" t="str">
        <f>'Race Results Data'!E14</f>
        <v>LSI</v>
      </c>
      <c r="F12" s="110" t="str">
        <f>IF('Race Results Data'!F14="PA","yes","no")</f>
        <v>yes</v>
      </c>
      <c r="G12" s="114">
        <f>'Race Results Data'!W14</f>
        <v>0.012253240740740742</v>
      </c>
      <c r="H12" s="110" t="str">
        <f>'Race Results Data'!J14</f>
        <v>W1</v>
      </c>
      <c r="I12" s="111">
        <f>'Race Results Data'!K14</f>
        <v>0.7107813503608267</v>
      </c>
      <c r="J12" s="110">
        <f>'Race Results Data'!L14</f>
        <v>8</v>
      </c>
    </row>
    <row r="13" spans="1:10" ht="12.75">
      <c r="A13" s="37" t="str">
        <f>'Race Results Data'!B15</f>
        <v>Diana</v>
      </c>
      <c r="B13" s="37" t="str">
        <f>'Race Results Data'!C15</f>
        <v>Rossman</v>
      </c>
      <c r="C13" s="19">
        <f>'Race Results Data'!D15</f>
        <v>44</v>
      </c>
      <c r="D13" s="19" t="str">
        <f>IF('Race Results Data'!A15&gt;15,"F","M")</f>
        <v>F</v>
      </c>
      <c r="E13" s="19" t="str">
        <f>'Race Results Data'!E15</f>
        <v>SCTC</v>
      </c>
      <c r="F13" s="19" t="str">
        <f>IF('Race Results Data'!F15="PA","yes","no")</f>
        <v>yes</v>
      </c>
      <c r="G13" s="76">
        <f>'Race Results Data'!W15</f>
        <v>0.01272152777777778</v>
      </c>
      <c r="H13" s="19" t="str">
        <f>'Race Results Data'!J15</f>
        <v>W2</v>
      </c>
      <c r="I13" s="68">
        <f>'Race Results Data'!K15</f>
        <v>0.6780846843896136</v>
      </c>
      <c r="J13" s="19">
        <f>'Race Results Data'!L15</f>
        <v>9</v>
      </c>
    </row>
    <row r="14" spans="1:10" ht="12.75">
      <c r="A14" s="37" t="str">
        <f>'Race Results Data'!B16</f>
        <v>Louise</v>
      </c>
      <c r="B14" s="37" t="str">
        <f>'Race Results Data'!C16</f>
        <v>Walters</v>
      </c>
      <c r="C14" s="19">
        <f>'Race Results Data'!D16</f>
        <v>71</v>
      </c>
      <c r="D14" s="19" t="str">
        <f>IF('Race Results Data'!A16&gt;15,"F","M")</f>
        <v>F</v>
      </c>
      <c r="E14" s="19" t="str">
        <f>'Race Results Data'!E16</f>
        <v>Sierra</v>
      </c>
      <c r="F14" s="19" t="str">
        <f>IF('Race Results Data'!F16="PA","yes","no")</f>
        <v>yes</v>
      </c>
      <c r="G14" s="76">
        <f>'Race Results Data'!W16</f>
        <v>0.013063078703703705</v>
      </c>
      <c r="H14" s="19" t="str">
        <f>'Race Results Data'!J16</f>
        <v>W3</v>
      </c>
      <c r="I14" s="68">
        <f>'Race Results Data'!K16</f>
        <v>0.8774287866034642</v>
      </c>
      <c r="J14" s="19">
        <f>'Race Results Data'!L16</f>
        <v>1</v>
      </c>
    </row>
    <row r="15" spans="1:10" ht="12.75">
      <c r="A15" s="37" t="str">
        <f>'Race Results Data'!B17</f>
        <v>Paula</v>
      </c>
      <c r="B15" s="37" t="str">
        <f>'Race Results Data'!C17</f>
        <v>Mendell</v>
      </c>
      <c r="C15" s="19">
        <f>'Race Results Data'!D17</f>
        <v>61</v>
      </c>
      <c r="D15" s="19" t="str">
        <f>IF('Race Results Data'!A17&gt;15,"F","M")</f>
        <v>F</v>
      </c>
      <c r="E15" s="19" t="str">
        <f>'Race Results Data'!E17</f>
        <v>Sierra</v>
      </c>
      <c r="F15" s="19" t="str">
        <f>IF('Race Results Data'!F17="PA","yes","no")</f>
        <v>yes</v>
      </c>
      <c r="G15" s="76">
        <f>'Race Results Data'!W17</f>
        <v>0.013344791666666666</v>
      </c>
      <c r="H15" s="19" t="str">
        <f>'Race Results Data'!J17</f>
        <v>W4</v>
      </c>
      <c r="I15" s="68">
        <f>'Race Results Data'!K17</f>
        <v>0.7563118500594107</v>
      </c>
      <c r="J15" s="19">
        <f>'Race Results Data'!L17</f>
        <v>4</v>
      </c>
    </row>
    <row r="16" spans="1:10" ht="12.75">
      <c r="A16" s="37" t="str">
        <f>'Race Results Data'!B18</f>
        <v>Nicolle</v>
      </c>
      <c r="B16" s="37" t="str">
        <f>'Race Results Data'!C18</f>
        <v>Goldman</v>
      </c>
      <c r="C16" s="19">
        <f>'Race Results Data'!D18</f>
        <v>52</v>
      </c>
      <c r="D16" s="19" t="str">
        <f>IF('Race Results Data'!A18&gt;15,"F","M")</f>
        <v>F</v>
      </c>
      <c r="E16" s="19" t="str">
        <f>'Race Results Data'!E18</f>
        <v>Sierra</v>
      </c>
      <c r="F16" s="19" t="str">
        <f>IF('Race Results Data'!F18="PA","yes","no")</f>
        <v>yes</v>
      </c>
      <c r="G16" s="76">
        <f>'Race Results Data'!W18</f>
        <v>0.013802314814814814</v>
      </c>
      <c r="H16" s="19" t="str">
        <f>'Race Results Data'!J18</f>
        <v>W5</v>
      </c>
      <c r="I16" s="68">
        <f>'Race Results Data'!K18</f>
        <v>0.6681984369234898</v>
      </c>
      <c r="J16" s="19">
        <f>'Race Results Data'!L18</f>
        <v>10</v>
      </c>
    </row>
    <row r="17" spans="1:10" ht="12.75">
      <c r="A17" s="37" t="str">
        <f>'Race Results Data'!B19</f>
        <v>Julie</v>
      </c>
      <c r="B17" s="37" t="str">
        <f>'Race Results Data'!C19</f>
        <v>Johnson</v>
      </c>
      <c r="C17" s="19">
        <f>'Race Results Data'!D19</f>
        <v>77</v>
      </c>
      <c r="D17" s="19" t="str">
        <f>IF('Race Results Data'!A19&gt;15,"F","M")</f>
        <v>F</v>
      </c>
      <c r="E17" s="19" t="str">
        <f>'Race Results Data'!E19</f>
        <v>SSS</v>
      </c>
      <c r="F17" s="19" t="str">
        <f>IF('Race Results Data'!F19="PA","yes","no")</f>
        <v>yes</v>
      </c>
      <c r="G17" s="76">
        <f>'Race Results Data'!W19</f>
        <v>0.017121180555555556</v>
      </c>
      <c r="H17" s="19" t="str">
        <f>'Race Results Data'!J19</f>
        <v>W6</v>
      </c>
      <c r="I17" s="68">
        <f>'Race Results Data'!K19</f>
        <v>0.7357142374279205</v>
      </c>
      <c r="J17" s="19">
        <f>'Race Results Data'!L19</f>
        <v>6</v>
      </c>
    </row>
    <row r="18" spans="1:10" ht="12.75">
      <c r="A18" s="80" t="str">
        <f>'Race Results Data'!B20</f>
        <v>Rita</v>
      </c>
      <c r="B18" s="80" t="str">
        <f>'Race Results Data'!C20</f>
        <v>Hildreth</v>
      </c>
      <c r="C18" s="56">
        <f>'Race Results Data'!D20</f>
        <v>79</v>
      </c>
      <c r="D18" s="56" t="str">
        <f>IF('Race Results Data'!A20&gt;15,"F","M")</f>
        <v>F</v>
      </c>
      <c r="E18" s="56" t="str">
        <f>'Race Results Data'!E20</f>
        <v>SSS</v>
      </c>
      <c r="F18" s="56" t="str">
        <f>IF('Race Results Data'!F20="PA","yes","no")</f>
        <v>yes</v>
      </c>
      <c r="G18" s="113">
        <f>'Race Results Data'!W20</f>
        <v>0.017244907407407407</v>
      </c>
      <c r="H18" s="56" t="str">
        <f>'Race Results Data'!J20</f>
        <v>W7</v>
      </c>
      <c r="I18" s="81">
        <f>'Race Results Data'!K20</f>
        <v>0.7564968187065425</v>
      </c>
      <c r="J18" s="56">
        <f>'Race Results Data'!L20</f>
        <v>3</v>
      </c>
    </row>
    <row r="19" spans="1:9" ht="12.75">
      <c r="A19" s="37"/>
      <c r="B19" s="37"/>
      <c r="E19" s="19"/>
      <c r="G19" s="76"/>
      <c r="I19" s="68"/>
    </row>
    <row r="20" spans="1:9" ht="12.75">
      <c r="A20" s="5" t="s">
        <v>210</v>
      </c>
      <c r="I20" s="62"/>
    </row>
    <row r="21" spans="1:9" ht="12.75">
      <c r="A21" s="67" t="s">
        <v>111</v>
      </c>
      <c r="B21" s="5" t="s">
        <v>237</v>
      </c>
      <c r="C21" s="67" t="s">
        <v>120</v>
      </c>
      <c r="I21" s="62"/>
    </row>
    <row r="22" spans="1:9" ht="12.75">
      <c r="A22" s="20" t="s">
        <v>196</v>
      </c>
      <c r="B22" s="85">
        <f>AVERAGE(I14,I15,I8)</f>
        <v>0.7835097716616494</v>
      </c>
      <c r="C22" s="19">
        <v>10</v>
      </c>
      <c r="I22" s="62"/>
    </row>
    <row r="23" spans="1:9" ht="12.75">
      <c r="A23" s="20"/>
      <c r="B23" s="62"/>
      <c r="C23" s="20"/>
      <c r="I23" s="62"/>
    </row>
    <row r="24" spans="1:9" ht="12.75">
      <c r="A24" s="17" t="s">
        <v>337</v>
      </c>
      <c r="E24" s="19"/>
      <c r="I24" s="62"/>
    </row>
    <row r="25" spans="1:9" ht="12.75">
      <c r="A25" s="17" t="s">
        <v>338</v>
      </c>
      <c r="E25" s="19"/>
      <c r="I25" s="62"/>
    </row>
    <row r="26" spans="1:9" ht="12.75">
      <c r="A26" s="17" t="s">
        <v>339</v>
      </c>
      <c r="E26" s="19"/>
      <c r="I26" s="62"/>
    </row>
    <row r="27" spans="5:9" ht="12.75">
      <c r="E27" s="19"/>
      <c r="I27" s="62"/>
    </row>
    <row r="28" spans="1:10" ht="12.75">
      <c r="A28" s="132" t="s">
        <v>341</v>
      </c>
      <c r="B28" s="133"/>
      <c r="C28" s="133"/>
      <c r="D28" s="133"/>
      <c r="E28" s="133"/>
      <c r="F28" s="133"/>
      <c r="G28" s="133"/>
      <c r="H28" s="133"/>
      <c r="I28" s="133"/>
      <c r="J28" s="133"/>
    </row>
    <row r="29" spans="1:10" ht="12.75">
      <c r="A29" s="26" t="s">
        <v>342</v>
      </c>
      <c r="B29" s="38"/>
      <c r="C29" s="38"/>
      <c r="D29" s="38"/>
      <c r="E29" s="38"/>
      <c r="F29" s="38"/>
      <c r="G29" s="38"/>
      <c r="H29" s="38"/>
      <c r="I29" s="38"/>
      <c r="J29" s="38"/>
    </row>
    <row r="30" spans="5:9" ht="12.75">
      <c r="E30" s="19"/>
      <c r="I30" s="62"/>
    </row>
    <row r="31" spans="1:9" ht="12.75">
      <c r="A31" s="5" t="s">
        <v>217</v>
      </c>
      <c r="E31" s="19"/>
      <c r="I31" s="62"/>
    </row>
    <row r="32" spans="1:9" ht="12.75">
      <c r="A32" s="17" t="s">
        <v>333</v>
      </c>
      <c r="E32" s="19"/>
      <c r="I32" s="62"/>
    </row>
    <row r="33" spans="1:9" ht="12.75">
      <c r="A33" t="s">
        <v>218</v>
      </c>
      <c r="E33" s="19"/>
      <c r="I33" s="62"/>
    </row>
    <row r="34" spans="1:9" ht="12.75">
      <c r="A34" s="17" t="s">
        <v>313</v>
      </c>
      <c r="E34" s="19"/>
      <c r="I34" s="62"/>
    </row>
    <row r="35" spans="1:5" ht="12.75">
      <c r="A35" t="s">
        <v>227</v>
      </c>
      <c r="E35" s="19"/>
    </row>
    <row r="36" spans="1:5" ht="12.75">
      <c r="A36" t="s">
        <v>223</v>
      </c>
      <c r="E36" s="19"/>
    </row>
    <row r="37" spans="1:5" ht="12.75">
      <c r="A37" s="17" t="s">
        <v>312</v>
      </c>
      <c r="E37" s="19"/>
    </row>
    <row r="38" spans="1:5" ht="12.75">
      <c r="A38" s="17" t="s">
        <v>222</v>
      </c>
      <c r="E38" s="19"/>
    </row>
    <row r="39" ht="12.75">
      <c r="E39" s="19"/>
    </row>
    <row r="40" ht="12.75">
      <c r="E40" s="19"/>
    </row>
    <row r="41" ht="12.75">
      <c r="E41" s="19"/>
    </row>
    <row r="42" ht="12.75">
      <c r="E42" s="19"/>
    </row>
    <row r="43" ht="12.75">
      <c r="E43" s="19"/>
    </row>
    <row r="44" ht="12.75">
      <c r="E44" s="19"/>
    </row>
    <row r="45" ht="12.75">
      <c r="E45" s="19"/>
    </row>
    <row r="46" ht="12.75">
      <c r="E46" s="19"/>
    </row>
    <row r="47" ht="12.75">
      <c r="E47" s="19"/>
    </row>
    <row r="48" ht="12.75">
      <c r="E48" s="19"/>
    </row>
  </sheetData>
  <sheetProtection/>
  <mergeCells count="2">
    <mergeCell ref="A1:J1"/>
    <mergeCell ref="A28:J28"/>
  </mergeCells>
  <printOptions/>
  <pageMargins left="0.75" right="0.75" top="1" bottom="1" header="0.5" footer="0.5"/>
  <pageSetup horizontalDpi="600" verticalDpi="600" orientation="portrait" scale="75" r:id="rId1"/>
  <headerFooter alignWithMargins="0">
    <oddHeader>&amp;c</oddHeader>
    <oddFooter>&amp;c</oddFooter>
  </headerFooter>
</worksheet>
</file>

<file path=xl/worksheets/sheet2.xml><?xml version="1.0" encoding="utf-8"?>
<worksheet xmlns="http://schemas.openxmlformats.org/spreadsheetml/2006/main" xmlns:r="http://schemas.openxmlformats.org/officeDocument/2006/relationships">
  <dimension ref="A1:Y47"/>
  <sheetViews>
    <sheetView tabSelected="1" zoomScalePageLayoutView="0" workbookViewId="0" topLeftCell="A1">
      <selection activeCell="A4" sqref="A4"/>
    </sheetView>
  </sheetViews>
  <sheetFormatPr defaultColWidth="9.140625" defaultRowHeight="12.75"/>
  <cols>
    <col min="1" max="1" width="12.7109375" style="0" customWidth="1"/>
    <col min="2" max="2" width="11.140625" style="0" customWidth="1"/>
    <col min="3" max="3" width="12.00390625" style="0" customWidth="1"/>
    <col min="5" max="5" width="14.57421875" style="0" customWidth="1"/>
    <col min="7" max="7" width="3.421875" style="0" bestFit="1" customWidth="1"/>
    <col min="8" max="8" width="4.57421875" style="0" bestFit="1" customWidth="1"/>
    <col min="9" max="9" width="5.57421875" style="0" bestFit="1" customWidth="1"/>
    <col min="10" max="10" width="9.140625" style="19" customWidth="1"/>
    <col min="11" max="15" width="7.28125" style="0" customWidth="1"/>
    <col min="16" max="16" width="9.28125" style="0" bestFit="1" customWidth="1"/>
    <col min="17" max="17" width="8.00390625" style="0" bestFit="1" customWidth="1"/>
    <col min="18" max="18" width="8.140625" style="0" bestFit="1" customWidth="1"/>
    <col min="19" max="19" width="11.140625" style="0" customWidth="1"/>
    <col min="20" max="20" width="5.421875" style="0" customWidth="1"/>
    <col min="21" max="22" width="5.140625" style="0" customWidth="1"/>
    <col min="24" max="24" width="7.8515625" style="0" bestFit="1" customWidth="1"/>
    <col min="25" max="25" width="8.140625" style="0" bestFit="1" customWidth="1"/>
  </cols>
  <sheetData>
    <row r="1" ht="12.75">
      <c r="A1" s="5" t="s">
        <v>116</v>
      </c>
    </row>
    <row r="2" ht="12.75">
      <c r="A2" t="s">
        <v>115</v>
      </c>
    </row>
    <row r="3" ht="12.75">
      <c r="A3" s="33" t="s">
        <v>354</v>
      </c>
    </row>
    <row r="5" spans="1:25" ht="12.75">
      <c r="A5" s="136" t="s">
        <v>78</v>
      </c>
      <c r="B5" s="136"/>
      <c r="C5" s="136"/>
      <c r="D5" s="136"/>
      <c r="E5" s="136"/>
      <c r="F5" s="136"/>
      <c r="G5" s="136"/>
      <c r="H5" s="136"/>
      <c r="I5" s="136"/>
      <c r="J5" s="137" t="s">
        <v>117</v>
      </c>
      <c r="K5" s="137"/>
      <c r="L5" s="137"/>
      <c r="M5" s="137"/>
      <c r="N5" s="137"/>
      <c r="O5" s="137"/>
      <c r="P5" s="137"/>
      <c r="Q5" s="134" t="s">
        <v>76</v>
      </c>
      <c r="R5" s="134"/>
      <c r="S5" s="134"/>
      <c r="T5" s="134"/>
      <c r="U5" s="134"/>
      <c r="V5" s="134"/>
      <c r="W5" s="134"/>
      <c r="X5" s="134"/>
      <c r="Y5" s="134"/>
    </row>
    <row r="6" spans="2:24" ht="12.75">
      <c r="B6" s="135" t="s">
        <v>75</v>
      </c>
      <c r="C6" s="135"/>
      <c r="G6" s="135" t="s">
        <v>82</v>
      </c>
      <c r="H6" s="135"/>
      <c r="I6" s="135"/>
      <c r="K6" s="20" t="s">
        <v>74</v>
      </c>
      <c r="L6" s="19" t="s">
        <v>77</v>
      </c>
      <c r="M6" s="19" t="s">
        <v>119</v>
      </c>
      <c r="N6" s="19" t="s">
        <v>119</v>
      </c>
      <c r="O6" s="19" t="s">
        <v>82</v>
      </c>
      <c r="T6" s="46" t="s">
        <v>344</v>
      </c>
      <c r="U6" s="46" t="s">
        <v>345</v>
      </c>
      <c r="V6" s="46" t="s">
        <v>346</v>
      </c>
      <c r="X6" s="46" t="s">
        <v>163</v>
      </c>
    </row>
    <row r="7" spans="1:25" ht="12.75">
      <c r="A7" s="25" t="s">
        <v>102</v>
      </c>
      <c r="B7" s="25" t="s">
        <v>103</v>
      </c>
      <c r="C7" s="25" t="s">
        <v>104</v>
      </c>
      <c r="D7" s="24" t="s">
        <v>74</v>
      </c>
      <c r="E7" s="24" t="s">
        <v>111</v>
      </c>
      <c r="F7" s="24" t="s">
        <v>112</v>
      </c>
      <c r="G7" s="53" t="s">
        <v>87</v>
      </c>
      <c r="H7" s="53" t="s">
        <v>88</v>
      </c>
      <c r="I7" s="70" t="s">
        <v>92</v>
      </c>
      <c r="J7" s="18" t="s">
        <v>86</v>
      </c>
      <c r="K7" s="18" t="s">
        <v>73</v>
      </c>
      <c r="L7" s="21" t="s">
        <v>72</v>
      </c>
      <c r="M7" s="21" t="s">
        <v>72</v>
      </c>
      <c r="N7" s="21" t="s">
        <v>120</v>
      </c>
      <c r="O7" s="22" t="s">
        <v>72</v>
      </c>
      <c r="P7" s="74" t="s">
        <v>89</v>
      </c>
      <c r="Q7" s="124" t="s">
        <v>81</v>
      </c>
      <c r="R7" s="23" t="s">
        <v>80</v>
      </c>
      <c r="S7" s="24" t="s">
        <v>83</v>
      </c>
      <c r="T7" s="53" t="s">
        <v>82</v>
      </c>
      <c r="U7" s="53" t="s">
        <v>82</v>
      </c>
      <c r="V7" s="53" t="s">
        <v>72</v>
      </c>
      <c r="W7" s="24" t="s">
        <v>226</v>
      </c>
      <c r="X7" s="53" t="s">
        <v>162</v>
      </c>
      <c r="Y7" s="44" t="s">
        <v>224</v>
      </c>
    </row>
    <row r="8" spans="1:25" s="17" customFormat="1" ht="12.75">
      <c r="A8" s="79">
        <v>3</v>
      </c>
      <c r="B8" s="82" t="s">
        <v>331</v>
      </c>
      <c r="C8" s="82" t="s">
        <v>332</v>
      </c>
      <c r="D8" s="26">
        <v>55</v>
      </c>
      <c r="E8" s="66" t="s">
        <v>328</v>
      </c>
      <c r="F8" s="66" t="s">
        <v>335</v>
      </c>
      <c r="G8" s="83">
        <v>0</v>
      </c>
      <c r="H8" s="83">
        <v>15</v>
      </c>
      <c r="I8" s="107">
        <v>13.4</v>
      </c>
      <c r="J8" s="16" t="str">
        <f>CONCATENATE(LEFT(S8,1),V8)</f>
        <v>M1</v>
      </c>
      <c r="K8" s="27">
        <f>IF(A8&gt;0,IF(A8&lt;29,R8/Q8,"ERROR"),"ERROR")</f>
        <v>0.826505364571929</v>
      </c>
      <c r="L8" s="16">
        <f aca="true" t="shared" si="0" ref="L8:L20">RANK(K8,$K$8:$K$20)</f>
        <v>2</v>
      </c>
      <c r="M8" s="16">
        <f aca="true" t="shared" si="1" ref="M8:M20">IF(X8="-",0,RANK(X8,$X$8:$X$20,-1))</f>
        <v>0</v>
      </c>
      <c r="N8" s="16">
        <f aca="true" t="shared" si="2" ref="N8:N20">IF(M8&lt;1,0,IF(M8&lt;11,11-M8,1))</f>
        <v>0</v>
      </c>
      <c r="O8" s="20">
        <f>RANK(Q8,$Q$8:$Q$20,-1)</f>
        <v>1</v>
      </c>
      <c r="P8" s="73">
        <f>(Q8/INDEX(Times!$B$4:$AC$4,1,A8)/(60*60*24))</f>
        <v>0.005671199111111111</v>
      </c>
      <c r="Q8" s="17">
        <f aca="true" t="shared" si="3" ref="Q8:Q20">I8+H8*60+G8*3600</f>
        <v>913.4</v>
      </c>
      <c r="R8" s="17">
        <f>INDEX(Times!$B$6:$AC$101,D8-4,A8)</f>
        <v>754.93</v>
      </c>
      <c r="S8" s="17" t="str">
        <f>INDEX(Times!$B$2:$AC$2,1,A8)</f>
        <v>M3kmWalk</v>
      </c>
      <c r="T8" s="126">
        <f>IF(A8&lt;15,Q8,100000000000)</f>
        <v>913.4</v>
      </c>
      <c r="U8" s="126">
        <f>IF(A8&lt;15,100000000000,Q8)</f>
        <v>100000000000</v>
      </c>
      <c r="V8" s="17">
        <f aca="true" t="shared" si="4" ref="V8:V20">IF(A8&lt;15,RANK(T8,$T$8:$T$20,-1),RANK(U8,$U$8:$U$20,-1))</f>
        <v>1</v>
      </c>
      <c r="W8" s="112">
        <f aca="true" t="shared" si="5" ref="W8:W20">Q8/(24*60*60)</f>
        <v>0.010571759259259258</v>
      </c>
      <c r="X8" s="71" t="str">
        <f aca="true" t="shared" si="6" ref="X8:X20">IF(F8="PA",L8,"-")</f>
        <v>-</v>
      </c>
      <c r="Y8" s="72">
        <f aca="true" t="shared" si="7" ref="Y8:Y20">Q8/60</f>
        <v>15.223333333333333</v>
      </c>
    </row>
    <row r="9" spans="1:25" s="17" customFormat="1" ht="12.75">
      <c r="A9" s="66">
        <v>3</v>
      </c>
      <c r="B9" s="82" t="s">
        <v>84</v>
      </c>
      <c r="C9" s="82" t="s">
        <v>105</v>
      </c>
      <c r="D9" s="66">
        <v>29</v>
      </c>
      <c r="E9" s="66" t="s">
        <v>113</v>
      </c>
      <c r="F9" s="66" t="s">
        <v>114</v>
      </c>
      <c r="G9" s="83">
        <v>0</v>
      </c>
      <c r="H9" s="83">
        <v>16</v>
      </c>
      <c r="I9" s="107">
        <v>21.21</v>
      </c>
      <c r="J9" s="16" t="str">
        <f aca="true" t="shared" si="8" ref="J9:J20">CONCATENATE(LEFT(S9,1),V9)</f>
        <v>M2</v>
      </c>
      <c r="K9" s="27">
        <f aca="true" t="shared" si="9" ref="K9:K20">IF(A9&gt;0,IF(A9&lt;29,R9/Q9,"ERROR"),"ERROR")</f>
        <v>0.6443472854944405</v>
      </c>
      <c r="L9" s="16">
        <f t="shared" si="0"/>
        <v>11</v>
      </c>
      <c r="M9" s="16">
        <f t="shared" si="1"/>
        <v>10</v>
      </c>
      <c r="N9" s="16">
        <f t="shared" si="2"/>
        <v>1</v>
      </c>
      <c r="O9" s="20">
        <f aca="true" t="shared" si="10" ref="O9:O20">RANK(Q9,$Q$8:$Q$20,-1)</f>
        <v>2</v>
      </c>
      <c r="P9" s="73">
        <f>(Q9/INDEX(Times!$B$4:$AC$4,1,A9)/(60*60*24))</f>
        <v>0.006092223866666666</v>
      </c>
      <c r="Q9" s="17">
        <f t="shared" si="3"/>
        <v>981.21</v>
      </c>
      <c r="R9" s="17">
        <f>INDEX(Times!$B$6:$AC$101,D9-4,A9)</f>
        <v>632.24</v>
      </c>
      <c r="S9" s="17" t="str">
        <f>INDEX(Times!$B$2:$AC$2,1,A9)</f>
        <v>M3kmWalk</v>
      </c>
      <c r="T9" s="126">
        <f aca="true" t="shared" si="11" ref="T9:T20">IF(A9&lt;15,Q9,100000000000)</f>
        <v>981.21</v>
      </c>
      <c r="U9" s="126">
        <f aca="true" t="shared" si="12" ref="U9:U20">IF(A9&lt;15,100000000000,Q9)</f>
        <v>100000000000</v>
      </c>
      <c r="V9" s="17">
        <f t="shared" si="4"/>
        <v>2</v>
      </c>
      <c r="W9" s="112">
        <f t="shared" si="5"/>
        <v>0.011356597222222223</v>
      </c>
      <c r="X9" s="71">
        <f t="shared" si="6"/>
        <v>11</v>
      </c>
      <c r="Y9" s="72">
        <f t="shared" si="7"/>
        <v>16.3535</v>
      </c>
    </row>
    <row r="10" spans="1:25" s="17" customFormat="1" ht="12.75">
      <c r="A10" s="66">
        <v>3</v>
      </c>
      <c r="B10" s="66" t="s">
        <v>316</v>
      </c>
      <c r="C10" s="66" t="s">
        <v>164</v>
      </c>
      <c r="D10" s="26">
        <v>56</v>
      </c>
      <c r="E10" s="66" t="s">
        <v>196</v>
      </c>
      <c r="F10" s="66" t="s">
        <v>114</v>
      </c>
      <c r="G10" s="83">
        <v>0</v>
      </c>
      <c r="H10" s="83">
        <v>17</v>
      </c>
      <c r="I10" s="107">
        <v>42.74</v>
      </c>
      <c r="J10" s="16" t="str">
        <f t="shared" si="8"/>
        <v>M3</v>
      </c>
      <c r="K10" s="27">
        <f t="shared" si="9"/>
        <v>0.7167886783220732</v>
      </c>
      <c r="L10" s="16">
        <f t="shared" si="0"/>
        <v>7</v>
      </c>
      <c r="M10" s="16">
        <f t="shared" si="1"/>
        <v>6</v>
      </c>
      <c r="N10" s="16">
        <f t="shared" si="2"/>
        <v>5</v>
      </c>
      <c r="O10" s="20">
        <f t="shared" si="10"/>
        <v>4</v>
      </c>
      <c r="P10" s="73">
        <f>(Q10/INDEX(Times!$B$4:$AC$4,1,A10)/(60*60*24))</f>
        <v>0.006598434577777778</v>
      </c>
      <c r="Q10" s="17">
        <f t="shared" si="3"/>
        <v>1062.74</v>
      </c>
      <c r="R10" s="17">
        <f>INDEX(Times!$B$6:$AC$101,D10-4,A10)</f>
        <v>761.76</v>
      </c>
      <c r="S10" s="17" t="str">
        <f>INDEX(Times!$B$2:$AC$2,1,A10)</f>
        <v>M3kmWalk</v>
      </c>
      <c r="T10" s="126">
        <f t="shared" si="11"/>
        <v>1062.74</v>
      </c>
      <c r="U10" s="126">
        <f t="shared" si="12"/>
        <v>100000000000</v>
      </c>
      <c r="V10" s="17">
        <f t="shared" si="4"/>
        <v>3</v>
      </c>
      <c r="W10" s="112">
        <f t="shared" si="5"/>
        <v>0.012300231481481481</v>
      </c>
      <c r="X10" s="71">
        <f t="shared" si="6"/>
        <v>7</v>
      </c>
      <c r="Y10" s="72">
        <f t="shared" si="7"/>
        <v>17.712333333333333</v>
      </c>
    </row>
    <row r="11" spans="1:25" s="17" customFormat="1" ht="12.75">
      <c r="A11" s="66">
        <v>3</v>
      </c>
      <c r="B11" s="66" t="s">
        <v>329</v>
      </c>
      <c r="C11" s="66" t="s">
        <v>330</v>
      </c>
      <c r="D11" s="26">
        <v>35</v>
      </c>
      <c r="E11" s="66" t="s">
        <v>328</v>
      </c>
      <c r="F11" s="66" t="s">
        <v>343</v>
      </c>
      <c r="G11" s="83">
        <v>0</v>
      </c>
      <c r="H11" s="83">
        <v>18</v>
      </c>
      <c r="I11" s="107">
        <v>3.9</v>
      </c>
      <c r="J11" s="16" t="str">
        <f t="shared" si="8"/>
        <v>M4</v>
      </c>
      <c r="K11" s="27">
        <f t="shared" si="9"/>
        <v>0.5944921118184334</v>
      </c>
      <c r="L11" s="16">
        <f t="shared" si="0"/>
        <v>12</v>
      </c>
      <c r="M11" s="16">
        <f t="shared" si="1"/>
        <v>0</v>
      </c>
      <c r="N11" s="16">
        <f t="shared" si="2"/>
        <v>0</v>
      </c>
      <c r="O11" s="20">
        <f t="shared" si="10"/>
        <v>5</v>
      </c>
      <c r="P11" s="73">
        <f>(Q11/INDEX(Times!$B$4:$AC$4,1,A11)/(60*60*24))</f>
        <v>0.006729814666666668</v>
      </c>
      <c r="Q11" s="17">
        <f t="shared" si="3"/>
        <v>1083.9</v>
      </c>
      <c r="R11" s="17">
        <f>INDEX(Times!$B$6:$AC$101,D11-4,A11)</f>
        <v>644.37</v>
      </c>
      <c r="S11" s="17" t="str">
        <f>INDEX(Times!$B$2:$AC$2,1,A11)</f>
        <v>M3kmWalk</v>
      </c>
      <c r="T11" s="126">
        <f t="shared" si="11"/>
        <v>1083.9</v>
      </c>
      <c r="U11" s="126">
        <f t="shared" si="12"/>
        <v>100000000000</v>
      </c>
      <c r="V11" s="17">
        <f t="shared" si="4"/>
        <v>4</v>
      </c>
      <c r="W11" s="112">
        <f t="shared" si="5"/>
        <v>0.01254513888888889</v>
      </c>
      <c r="X11" s="71" t="str">
        <f t="shared" si="6"/>
        <v>-</v>
      </c>
      <c r="Y11" s="72">
        <f t="shared" si="7"/>
        <v>18.065</v>
      </c>
    </row>
    <row r="12" spans="1:25" s="17" customFormat="1" ht="12.75">
      <c r="A12" s="79">
        <v>3</v>
      </c>
      <c r="B12" s="82" t="s">
        <v>314</v>
      </c>
      <c r="C12" s="82" t="s">
        <v>315</v>
      </c>
      <c r="D12" s="26">
        <v>64</v>
      </c>
      <c r="E12" s="66" t="s">
        <v>113</v>
      </c>
      <c r="F12" s="66" t="s">
        <v>114</v>
      </c>
      <c r="G12" s="83">
        <v>0</v>
      </c>
      <c r="H12" s="84">
        <v>18</v>
      </c>
      <c r="I12" s="108">
        <v>35.37</v>
      </c>
      <c r="J12" s="16" t="str">
        <f t="shared" si="8"/>
        <v>M5</v>
      </c>
      <c r="K12" s="27">
        <f t="shared" si="9"/>
        <v>0.7392345141074262</v>
      </c>
      <c r="L12" s="16">
        <f t="shared" si="0"/>
        <v>5</v>
      </c>
      <c r="M12" s="16">
        <f t="shared" si="1"/>
        <v>4</v>
      </c>
      <c r="N12" s="16">
        <f t="shared" si="2"/>
        <v>7</v>
      </c>
      <c r="O12" s="20">
        <f t="shared" si="10"/>
        <v>7</v>
      </c>
      <c r="P12" s="73">
        <f>(Q12/INDEX(Times!$B$4:$AC$4,1,A12)/(60*60*24))</f>
        <v>0.0069252084</v>
      </c>
      <c r="Q12" s="17">
        <f t="shared" si="3"/>
        <v>1115.37</v>
      </c>
      <c r="R12" s="17">
        <f>INDEX(Times!$B$6:$AC$101,D12-4,A12)</f>
        <v>824.52</v>
      </c>
      <c r="S12" s="17" t="str">
        <f>INDEX(Times!$B$2:$AC$2,1,A12)</f>
        <v>M3kmWalk</v>
      </c>
      <c r="T12" s="126">
        <f t="shared" si="11"/>
        <v>1115.37</v>
      </c>
      <c r="U12" s="126">
        <f t="shared" si="12"/>
        <v>100000000000</v>
      </c>
      <c r="V12" s="17">
        <f t="shared" si="4"/>
        <v>5</v>
      </c>
      <c r="W12" s="112">
        <f t="shared" si="5"/>
        <v>0.012909374999999999</v>
      </c>
      <c r="X12" s="71">
        <f t="shared" si="6"/>
        <v>5</v>
      </c>
      <c r="Y12" s="72">
        <f t="shared" si="7"/>
        <v>18.589499999999997</v>
      </c>
    </row>
    <row r="13" spans="1:25" s="17" customFormat="1" ht="12.75">
      <c r="A13" s="79">
        <v>3</v>
      </c>
      <c r="B13" s="79" t="s">
        <v>317</v>
      </c>
      <c r="C13" s="79" t="s">
        <v>318</v>
      </c>
      <c r="D13" s="117">
        <v>63</v>
      </c>
      <c r="E13" s="79" t="s">
        <v>197</v>
      </c>
      <c r="F13" s="79" t="s">
        <v>114</v>
      </c>
      <c r="G13" s="84">
        <v>0</v>
      </c>
      <c r="H13" s="84">
        <v>23</v>
      </c>
      <c r="I13" s="108">
        <v>14.02</v>
      </c>
      <c r="J13" s="16" t="str">
        <f t="shared" si="8"/>
        <v>M6</v>
      </c>
      <c r="K13" s="27">
        <f t="shared" si="9"/>
        <v>0.5852785469361989</v>
      </c>
      <c r="L13" s="16">
        <f t="shared" si="0"/>
        <v>13</v>
      </c>
      <c r="M13" s="16">
        <f t="shared" si="1"/>
        <v>11</v>
      </c>
      <c r="N13" s="16">
        <f t="shared" si="2"/>
        <v>1</v>
      </c>
      <c r="O13" s="118">
        <f t="shared" si="10"/>
        <v>11</v>
      </c>
      <c r="P13" s="119">
        <f>(Q13/INDEX(Times!$B$4:$AC$4,1,A13)/(60*60*24))</f>
        <v>0.008655315288888889</v>
      </c>
      <c r="Q13" s="120">
        <f t="shared" si="3"/>
        <v>1394.02</v>
      </c>
      <c r="R13" s="120">
        <f>INDEX(Times!$B$6:$AC$101,D13-4,A13)</f>
        <v>815.89</v>
      </c>
      <c r="S13" s="120" t="str">
        <f>INDEX(Times!$B$2:$AC$2,1,A13)</f>
        <v>M3kmWalk</v>
      </c>
      <c r="T13" s="127">
        <f t="shared" si="11"/>
        <v>1394.02</v>
      </c>
      <c r="U13" s="126">
        <f t="shared" si="12"/>
        <v>100000000000</v>
      </c>
      <c r="V13" s="17">
        <f t="shared" si="4"/>
        <v>6</v>
      </c>
      <c r="W13" s="121">
        <f t="shared" si="5"/>
        <v>0.01613449074074074</v>
      </c>
      <c r="X13" s="122">
        <f t="shared" si="6"/>
        <v>13</v>
      </c>
      <c r="Y13" s="123">
        <f t="shared" si="7"/>
        <v>23.233666666666668</v>
      </c>
    </row>
    <row r="14" spans="1:25" s="17" customFormat="1" ht="12.75">
      <c r="A14" s="66">
        <v>17</v>
      </c>
      <c r="B14" s="66" t="s">
        <v>319</v>
      </c>
      <c r="C14" s="66" t="s">
        <v>320</v>
      </c>
      <c r="D14" s="26">
        <v>13</v>
      </c>
      <c r="E14" s="66" t="s">
        <v>334</v>
      </c>
      <c r="F14" s="66" t="s">
        <v>114</v>
      </c>
      <c r="G14" s="83">
        <v>0</v>
      </c>
      <c r="H14" s="83">
        <v>17</v>
      </c>
      <c r="I14" s="107">
        <v>38.68</v>
      </c>
      <c r="J14" s="16" t="str">
        <f t="shared" si="8"/>
        <v>W1</v>
      </c>
      <c r="K14" s="27">
        <f t="shared" si="9"/>
        <v>0.7107813503608267</v>
      </c>
      <c r="L14" s="16">
        <f t="shared" si="0"/>
        <v>8</v>
      </c>
      <c r="M14" s="16">
        <f t="shared" si="1"/>
        <v>7</v>
      </c>
      <c r="N14" s="16">
        <f t="shared" si="2"/>
        <v>4</v>
      </c>
      <c r="O14" s="20">
        <f t="shared" si="10"/>
        <v>3</v>
      </c>
      <c r="P14" s="73">
        <f>(Q14/INDEX(Times!$B$4:$AC$4,1,A14)/(60*60*24))</f>
        <v>0.00657322648888889</v>
      </c>
      <c r="Q14" s="17">
        <f t="shared" si="3"/>
        <v>1058.68</v>
      </c>
      <c r="R14" s="17">
        <f>INDEX(Times!$B$6:$AC$101,D14-4,A14)</f>
        <v>752.49</v>
      </c>
      <c r="S14" s="17" t="str">
        <f>INDEX(Times!$B$2:$AC$2,1,A14)</f>
        <v>W3kmWalk</v>
      </c>
      <c r="T14" s="126">
        <f t="shared" si="11"/>
        <v>100000000000</v>
      </c>
      <c r="U14" s="126">
        <f t="shared" si="12"/>
        <v>1058.68</v>
      </c>
      <c r="V14" s="17">
        <f t="shared" si="4"/>
        <v>1</v>
      </c>
      <c r="W14" s="112">
        <f t="shared" si="5"/>
        <v>0.012253240740740742</v>
      </c>
      <c r="X14" s="71">
        <f t="shared" si="6"/>
        <v>8</v>
      </c>
      <c r="Y14" s="72">
        <f t="shared" si="7"/>
        <v>17.64466666666667</v>
      </c>
    </row>
    <row r="15" spans="1:25" s="17" customFormat="1" ht="12.75">
      <c r="A15" s="66">
        <v>17</v>
      </c>
      <c r="B15" s="82" t="s">
        <v>291</v>
      </c>
      <c r="C15" s="82" t="s">
        <v>327</v>
      </c>
      <c r="D15" s="26">
        <v>44</v>
      </c>
      <c r="E15" s="66" t="s">
        <v>165</v>
      </c>
      <c r="F15" s="66" t="s">
        <v>114</v>
      </c>
      <c r="G15" s="83">
        <v>0</v>
      </c>
      <c r="H15" s="83">
        <v>18</v>
      </c>
      <c r="I15" s="107">
        <v>19.14</v>
      </c>
      <c r="J15" s="16" t="str">
        <f t="shared" si="8"/>
        <v>W2</v>
      </c>
      <c r="K15" s="27">
        <f t="shared" si="9"/>
        <v>0.6780846843896136</v>
      </c>
      <c r="L15" s="16">
        <f t="shared" si="0"/>
        <v>9</v>
      </c>
      <c r="M15" s="16">
        <f t="shared" si="1"/>
        <v>8</v>
      </c>
      <c r="N15" s="16">
        <f t="shared" si="2"/>
        <v>3</v>
      </c>
      <c r="O15" s="20">
        <f t="shared" si="10"/>
        <v>6</v>
      </c>
      <c r="P15" s="73">
        <f>(Q15/INDEX(Times!$B$4:$AC$4,1,A15)/(60*60*24))</f>
        <v>0.006824438133333334</v>
      </c>
      <c r="Q15" s="17">
        <f t="shared" si="3"/>
        <v>1099.14</v>
      </c>
      <c r="R15" s="17">
        <f>INDEX(Times!$B$6:$AC$101,D15-4,A15)</f>
        <v>745.31</v>
      </c>
      <c r="S15" s="17" t="str">
        <f>INDEX(Times!$B$2:$AC$2,1,A15)</f>
        <v>W3kmWalk</v>
      </c>
      <c r="T15" s="126">
        <f t="shared" si="11"/>
        <v>100000000000</v>
      </c>
      <c r="U15" s="126">
        <f t="shared" si="12"/>
        <v>1099.14</v>
      </c>
      <c r="V15" s="17">
        <f t="shared" si="4"/>
        <v>2</v>
      </c>
      <c r="W15" s="112">
        <f t="shared" si="5"/>
        <v>0.01272152777777778</v>
      </c>
      <c r="X15" s="71">
        <f t="shared" si="6"/>
        <v>9</v>
      </c>
      <c r="Y15" s="72">
        <f t="shared" si="7"/>
        <v>18.319000000000003</v>
      </c>
    </row>
    <row r="16" spans="1:25" s="17" customFormat="1" ht="12.75">
      <c r="A16" s="66">
        <v>17</v>
      </c>
      <c r="B16" s="66" t="s">
        <v>321</v>
      </c>
      <c r="C16" s="66" t="s">
        <v>322</v>
      </c>
      <c r="D16" s="26">
        <v>71</v>
      </c>
      <c r="E16" s="66" t="s">
        <v>196</v>
      </c>
      <c r="F16" s="66" t="s">
        <v>114</v>
      </c>
      <c r="G16" s="83">
        <v>0</v>
      </c>
      <c r="H16" s="83">
        <v>18</v>
      </c>
      <c r="I16" s="107">
        <v>48.65</v>
      </c>
      <c r="J16" s="16" t="str">
        <f t="shared" si="8"/>
        <v>W3</v>
      </c>
      <c r="K16" s="27">
        <f t="shared" si="9"/>
        <v>0.8774287866034642</v>
      </c>
      <c r="L16" s="16">
        <f t="shared" si="0"/>
        <v>1</v>
      </c>
      <c r="M16" s="16">
        <f t="shared" si="1"/>
        <v>1</v>
      </c>
      <c r="N16" s="16">
        <f t="shared" si="2"/>
        <v>10</v>
      </c>
      <c r="O16" s="20">
        <f t="shared" si="10"/>
        <v>8</v>
      </c>
      <c r="P16" s="73">
        <f>(Q16/INDEX(Times!$B$4:$AC$4,1,A16)/(60*60*24))</f>
        <v>0.007007662444444445</v>
      </c>
      <c r="Q16" s="17">
        <f t="shared" si="3"/>
        <v>1128.65</v>
      </c>
      <c r="R16" s="17">
        <f>INDEX(Times!$B$6:$AC$101,D16-4,A16)</f>
        <v>990.31</v>
      </c>
      <c r="S16" s="17" t="str">
        <f>INDEX(Times!$B$2:$AC$2,1,A16)</f>
        <v>W3kmWalk</v>
      </c>
      <c r="T16" s="126">
        <f t="shared" si="11"/>
        <v>100000000000</v>
      </c>
      <c r="U16" s="126">
        <f t="shared" si="12"/>
        <v>1128.65</v>
      </c>
      <c r="V16" s="17">
        <f t="shared" si="4"/>
        <v>3</v>
      </c>
      <c r="W16" s="112">
        <f t="shared" si="5"/>
        <v>0.013063078703703705</v>
      </c>
      <c r="X16" s="71">
        <f t="shared" si="6"/>
        <v>1</v>
      </c>
      <c r="Y16" s="72">
        <f t="shared" si="7"/>
        <v>18.810833333333335</v>
      </c>
    </row>
    <row r="17" spans="1:25" s="17" customFormat="1" ht="12.75">
      <c r="A17" s="66">
        <v>17</v>
      </c>
      <c r="B17" s="66" t="s">
        <v>292</v>
      </c>
      <c r="C17" s="66" t="s">
        <v>293</v>
      </c>
      <c r="D17" s="26">
        <v>61</v>
      </c>
      <c r="E17" s="66" t="s">
        <v>196</v>
      </c>
      <c r="F17" s="66" t="s">
        <v>114</v>
      </c>
      <c r="G17" s="83">
        <v>0</v>
      </c>
      <c r="H17" s="83">
        <v>19</v>
      </c>
      <c r="I17" s="107">
        <v>12.99</v>
      </c>
      <c r="J17" s="16" t="str">
        <f t="shared" si="8"/>
        <v>W4</v>
      </c>
      <c r="K17" s="27">
        <f t="shared" si="9"/>
        <v>0.7563118500594107</v>
      </c>
      <c r="L17" s="16">
        <f t="shared" si="0"/>
        <v>4</v>
      </c>
      <c r="M17" s="16">
        <f t="shared" si="1"/>
        <v>3</v>
      </c>
      <c r="N17" s="16">
        <f t="shared" si="2"/>
        <v>8</v>
      </c>
      <c r="O17" s="20">
        <f t="shared" si="10"/>
        <v>9</v>
      </c>
      <c r="P17" s="73">
        <f>(Q17/INDEX(Times!$B$4:$AC$4,1,A17)/(60*60*24))</f>
        <v>0.007158786800000001</v>
      </c>
      <c r="Q17" s="17">
        <f t="shared" si="3"/>
        <v>1152.99</v>
      </c>
      <c r="R17" s="17">
        <f>INDEX(Times!$B$6:$AC$101,D17-4,A17)</f>
        <v>872.02</v>
      </c>
      <c r="S17" s="17" t="str">
        <f>INDEX(Times!$B$2:$AC$2,1,A17)</f>
        <v>W3kmWalk</v>
      </c>
      <c r="T17" s="126">
        <f t="shared" si="11"/>
        <v>100000000000</v>
      </c>
      <c r="U17" s="126">
        <f t="shared" si="12"/>
        <v>1152.99</v>
      </c>
      <c r="V17" s="17">
        <f t="shared" si="4"/>
        <v>4</v>
      </c>
      <c r="W17" s="112">
        <f t="shared" si="5"/>
        <v>0.013344791666666666</v>
      </c>
      <c r="X17" s="71">
        <f t="shared" si="6"/>
        <v>4</v>
      </c>
      <c r="Y17" s="72">
        <f t="shared" si="7"/>
        <v>19.2165</v>
      </c>
    </row>
    <row r="18" spans="1:25" s="17" customFormat="1" ht="12.75">
      <c r="A18" s="66">
        <v>17</v>
      </c>
      <c r="B18" s="66" t="s">
        <v>85</v>
      </c>
      <c r="C18" s="66" t="s">
        <v>106</v>
      </c>
      <c r="D18" s="26">
        <v>52</v>
      </c>
      <c r="E18" s="66" t="s">
        <v>196</v>
      </c>
      <c r="F18" s="66" t="s">
        <v>114</v>
      </c>
      <c r="G18" s="83">
        <v>0</v>
      </c>
      <c r="H18" s="83">
        <v>19</v>
      </c>
      <c r="I18" s="107">
        <v>52.52</v>
      </c>
      <c r="J18" s="16" t="str">
        <f t="shared" si="8"/>
        <v>W5</v>
      </c>
      <c r="K18" s="27">
        <f t="shared" si="9"/>
        <v>0.6681984369234898</v>
      </c>
      <c r="L18" s="16">
        <f t="shared" si="0"/>
        <v>10</v>
      </c>
      <c r="M18" s="16">
        <f t="shared" si="1"/>
        <v>9</v>
      </c>
      <c r="N18" s="16">
        <f t="shared" si="2"/>
        <v>2</v>
      </c>
      <c r="O18" s="20">
        <f t="shared" si="10"/>
        <v>10</v>
      </c>
      <c r="P18" s="73">
        <f>(Q18/INDEX(Times!$B$4:$AC$4,1,A18)/(60*60*24))</f>
        <v>0.007404224177777779</v>
      </c>
      <c r="Q18" s="17">
        <f t="shared" si="3"/>
        <v>1192.52</v>
      </c>
      <c r="R18" s="17">
        <f>INDEX(Times!$B$6:$AC$101,D18-4,A18)</f>
        <v>796.84</v>
      </c>
      <c r="S18" s="17" t="str">
        <f>INDEX(Times!$B$2:$AC$2,1,A18)</f>
        <v>W3kmWalk</v>
      </c>
      <c r="T18" s="126">
        <f t="shared" si="11"/>
        <v>100000000000</v>
      </c>
      <c r="U18" s="126">
        <f t="shared" si="12"/>
        <v>1192.52</v>
      </c>
      <c r="V18" s="17">
        <f t="shared" si="4"/>
        <v>5</v>
      </c>
      <c r="W18" s="112">
        <f t="shared" si="5"/>
        <v>0.013802314814814814</v>
      </c>
      <c r="X18" s="71">
        <f t="shared" si="6"/>
        <v>10</v>
      </c>
      <c r="Y18" s="72">
        <f t="shared" si="7"/>
        <v>19.875333333333334</v>
      </c>
    </row>
    <row r="19" spans="1:25" s="17" customFormat="1" ht="12.75">
      <c r="A19" s="79">
        <v>17</v>
      </c>
      <c r="B19" s="116" t="s">
        <v>325</v>
      </c>
      <c r="C19" s="116" t="s">
        <v>326</v>
      </c>
      <c r="D19" s="117">
        <v>77</v>
      </c>
      <c r="E19" s="79" t="s">
        <v>336</v>
      </c>
      <c r="F19" s="79" t="s">
        <v>114</v>
      </c>
      <c r="G19" s="84">
        <v>0</v>
      </c>
      <c r="H19" s="84">
        <v>24</v>
      </c>
      <c r="I19" s="108">
        <v>39.27</v>
      </c>
      <c r="J19" s="16" t="str">
        <f t="shared" si="8"/>
        <v>W6</v>
      </c>
      <c r="K19" s="27">
        <f t="shared" si="9"/>
        <v>0.7357142374279205</v>
      </c>
      <c r="L19" s="16">
        <f t="shared" si="0"/>
        <v>6</v>
      </c>
      <c r="M19" s="16">
        <f t="shared" si="1"/>
        <v>5</v>
      </c>
      <c r="N19" s="16">
        <f t="shared" si="2"/>
        <v>6</v>
      </c>
      <c r="O19" s="20">
        <f t="shared" si="10"/>
        <v>12</v>
      </c>
      <c r="P19" s="119">
        <f>(Q19/INDEX(Times!$B$4:$AC$4,1,A19)/(60*60*24))</f>
        <v>0.009184623066666668</v>
      </c>
      <c r="Q19" s="120">
        <f t="shared" si="3"/>
        <v>1479.27</v>
      </c>
      <c r="R19" s="120">
        <f>INDEX(Times!$B$6:$AC$101,D19-4,A19)</f>
        <v>1088.32</v>
      </c>
      <c r="S19" s="120" t="str">
        <f>INDEX(Times!$B$2:$AC$2,1,A19)</f>
        <v>W3kmWalk</v>
      </c>
      <c r="T19" s="126">
        <f t="shared" si="11"/>
        <v>100000000000</v>
      </c>
      <c r="U19" s="126">
        <f t="shared" si="12"/>
        <v>1479.27</v>
      </c>
      <c r="V19" s="17">
        <f t="shared" si="4"/>
        <v>6</v>
      </c>
      <c r="W19" s="121">
        <f t="shared" si="5"/>
        <v>0.017121180555555556</v>
      </c>
      <c r="X19" s="122">
        <f t="shared" si="6"/>
        <v>6</v>
      </c>
      <c r="Y19" s="123">
        <f t="shared" si="7"/>
        <v>24.6545</v>
      </c>
    </row>
    <row r="20" spans="1:25" s="17" customFormat="1" ht="12.75">
      <c r="A20" s="79">
        <v>17</v>
      </c>
      <c r="B20" s="125" t="s">
        <v>323</v>
      </c>
      <c r="C20" s="125" t="s">
        <v>324</v>
      </c>
      <c r="D20" s="117">
        <v>79</v>
      </c>
      <c r="E20" s="79" t="s">
        <v>336</v>
      </c>
      <c r="F20" s="79" t="s">
        <v>114</v>
      </c>
      <c r="G20" s="84">
        <v>0</v>
      </c>
      <c r="H20" s="84">
        <v>24</v>
      </c>
      <c r="I20" s="108">
        <v>49.96</v>
      </c>
      <c r="J20" s="16" t="str">
        <f t="shared" si="8"/>
        <v>W7</v>
      </c>
      <c r="K20" s="27">
        <f t="shared" si="9"/>
        <v>0.7564968187065425</v>
      </c>
      <c r="L20" s="16">
        <f t="shared" si="0"/>
        <v>3</v>
      </c>
      <c r="M20" s="16">
        <f t="shared" si="1"/>
        <v>2</v>
      </c>
      <c r="N20" s="16">
        <f t="shared" si="2"/>
        <v>9</v>
      </c>
      <c r="O20" s="118">
        <f t="shared" si="10"/>
        <v>13</v>
      </c>
      <c r="P20" s="119">
        <f>(Q20/INDEX(Times!$B$4:$AC$4,1,A20)/(60*60*24))</f>
        <v>0.00925099608888889</v>
      </c>
      <c r="Q20" s="120">
        <f t="shared" si="3"/>
        <v>1489.96</v>
      </c>
      <c r="R20" s="120">
        <f>INDEX(Times!$B$6:$AC$101,D20-4,A20)</f>
        <v>1127.15</v>
      </c>
      <c r="S20" s="120" t="str">
        <f>INDEX(Times!$B$2:$AC$2,1,A20)</f>
        <v>W3kmWalk</v>
      </c>
      <c r="T20" s="127">
        <f t="shared" si="11"/>
        <v>100000000000</v>
      </c>
      <c r="U20" s="126">
        <f t="shared" si="12"/>
        <v>1489.96</v>
      </c>
      <c r="V20" s="17">
        <f t="shared" si="4"/>
        <v>7</v>
      </c>
      <c r="W20" s="121">
        <f t="shared" si="5"/>
        <v>0.017244907407407407</v>
      </c>
      <c r="X20" s="122">
        <f t="shared" si="6"/>
        <v>3</v>
      </c>
      <c r="Y20" s="123">
        <f t="shared" si="7"/>
        <v>24.832666666666668</v>
      </c>
    </row>
    <row r="21" spans="1:16" s="17" customFormat="1" ht="6.75" customHeight="1">
      <c r="A21" s="66"/>
      <c r="B21" s="66"/>
      <c r="C21" s="66"/>
      <c r="D21" s="66"/>
      <c r="E21" s="66"/>
      <c r="F21" s="66"/>
      <c r="G21" s="66"/>
      <c r="H21" s="66"/>
      <c r="I21" s="66"/>
      <c r="J21" s="16"/>
      <c r="K21" s="27"/>
      <c r="L21" s="16"/>
      <c r="M21" s="16"/>
      <c r="N21" s="16"/>
      <c r="O21" s="20"/>
      <c r="P21" s="26"/>
    </row>
    <row r="22" spans="1:14" s="17" customFormat="1" ht="12.75">
      <c r="A22" s="14"/>
      <c r="B22" s="14"/>
      <c r="C22" s="14"/>
      <c r="D22" s="66"/>
      <c r="E22" s="26"/>
      <c r="F22" s="26"/>
      <c r="G22" s="26"/>
      <c r="H22" s="26" t="s">
        <v>167</v>
      </c>
      <c r="I22" s="14" t="s">
        <v>167</v>
      </c>
      <c r="J22" s="16"/>
      <c r="K22" s="27"/>
      <c r="L22" s="16"/>
      <c r="M22" s="16"/>
      <c r="N22" s="16"/>
    </row>
    <row r="23" ht="12.75">
      <c r="A23" s="4" t="s">
        <v>25</v>
      </c>
    </row>
    <row r="24" spans="1:3" ht="12.75">
      <c r="A24" s="6" t="s">
        <v>68</v>
      </c>
      <c r="C24" s="6" t="s">
        <v>69</v>
      </c>
    </row>
    <row r="25" spans="1:6" ht="12.75">
      <c r="A25" s="3" t="s">
        <v>0</v>
      </c>
      <c r="B25" s="19">
        <v>1</v>
      </c>
      <c r="C25" s="3" t="s">
        <v>38</v>
      </c>
      <c r="D25" s="19">
        <v>15</v>
      </c>
      <c r="E25" s="19"/>
      <c r="F25" s="19"/>
    </row>
    <row r="26" spans="1:6" ht="12.75">
      <c r="A26" s="3" t="s">
        <v>1</v>
      </c>
      <c r="B26" s="19">
        <v>2</v>
      </c>
      <c r="C26" s="3" t="s">
        <v>39</v>
      </c>
      <c r="D26" s="19">
        <v>16</v>
      </c>
      <c r="E26" s="19"/>
      <c r="F26" s="19"/>
    </row>
    <row r="27" spans="1:6" ht="12.75">
      <c r="A27" s="3" t="s">
        <v>2</v>
      </c>
      <c r="B27" s="19">
        <v>3</v>
      </c>
      <c r="C27" s="3" t="s">
        <v>40</v>
      </c>
      <c r="D27" s="19">
        <v>17</v>
      </c>
      <c r="E27" s="19"/>
      <c r="F27" s="19"/>
    </row>
    <row r="28" spans="1:6" ht="12.75">
      <c r="A28" s="3" t="s">
        <v>3</v>
      </c>
      <c r="B28" s="19">
        <v>4</v>
      </c>
      <c r="C28" s="3" t="s">
        <v>41</v>
      </c>
      <c r="D28" s="19">
        <v>18</v>
      </c>
      <c r="E28" s="19"/>
      <c r="F28" s="19"/>
    </row>
    <row r="29" spans="1:6" ht="12.75">
      <c r="A29" s="3" t="s">
        <v>4</v>
      </c>
      <c r="B29" s="19">
        <v>5</v>
      </c>
      <c r="C29" s="3" t="s">
        <v>42</v>
      </c>
      <c r="D29" s="19">
        <v>19</v>
      </c>
      <c r="E29" s="19"/>
      <c r="F29" s="19"/>
    </row>
    <row r="30" spans="1:6" ht="12.75">
      <c r="A30" s="3" t="s">
        <v>5</v>
      </c>
      <c r="B30" s="19">
        <v>6</v>
      </c>
      <c r="C30" s="3" t="s">
        <v>43</v>
      </c>
      <c r="D30" s="19">
        <v>20</v>
      </c>
      <c r="E30" s="19"/>
      <c r="F30" s="19"/>
    </row>
    <row r="31" spans="1:6" ht="12.75">
      <c r="A31" s="3" t="s">
        <v>6</v>
      </c>
      <c r="B31" s="19">
        <v>7</v>
      </c>
      <c r="C31" s="3" t="s">
        <v>44</v>
      </c>
      <c r="D31" s="19">
        <v>21</v>
      </c>
      <c r="E31" s="19"/>
      <c r="F31" s="19"/>
    </row>
    <row r="32" spans="1:6" ht="12.75">
      <c r="A32" s="3" t="s">
        <v>7</v>
      </c>
      <c r="B32" s="19">
        <v>8</v>
      </c>
      <c r="C32" s="3" t="s">
        <v>45</v>
      </c>
      <c r="D32" s="19">
        <v>22</v>
      </c>
      <c r="E32" s="19"/>
      <c r="F32" s="19"/>
    </row>
    <row r="33" spans="1:6" ht="12.75">
      <c r="A33" s="3" t="s">
        <v>8</v>
      </c>
      <c r="B33" s="19">
        <v>9</v>
      </c>
      <c r="C33" s="3" t="s">
        <v>46</v>
      </c>
      <c r="D33" s="19">
        <v>23</v>
      </c>
      <c r="E33" s="19"/>
      <c r="F33" s="19"/>
    </row>
    <row r="34" spans="1:6" ht="12.75">
      <c r="A34" s="3" t="s">
        <v>9</v>
      </c>
      <c r="B34" s="19">
        <v>10</v>
      </c>
      <c r="C34" s="3" t="s">
        <v>47</v>
      </c>
      <c r="D34" s="19">
        <v>24</v>
      </c>
      <c r="E34" s="19"/>
      <c r="F34" s="19"/>
    </row>
    <row r="35" spans="1:6" ht="12.75">
      <c r="A35" s="3" t="s">
        <v>10</v>
      </c>
      <c r="B35" s="19">
        <v>11</v>
      </c>
      <c r="C35" s="3" t="s">
        <v>48</v>
      </c>
      <c r="D35" s="19">
        <v>25</v>
      </c>
      <c r="E35" s="19"/>
      <c r="F35" s="19"/>
    </row>
    <row r="36" spans="1:6" ht="12.75">
      <c r="A36" s="3" t="s">
        <v>11</v>
      </c>
      <c r="B36" s="19">
        <v>12</v>
      </c>
      <c r="C36" s="3" t="s">
        <v>49</v>
      </c>
      <c r="D36" s="19">
        <v>26</v>
      </c>
      <c r="E36" s="19"/>
      <c r="F36" s="19"/>
    </row>
    <row r="37" spans="1:6" ht="12.75">
      <c r="A37" s="3" t="s">
        <v>12</v>
      </c>
      <c r="B37" s="19">
        <v>13</v>
      </c>
      <c r="C37" s="3" t="s">
        <v>50</v>
      </c>
      <c r="D37" s="19">
        <v>27</v>
      </c>
      <c r="E37" s="19"/>
      <c r="F37" s="19"/>
    </row>
    <row r="38" spans="1:6" ht="12.75">
      <c r="A38" s="3" t="s">
        <v>13</v>
      </c>
      <c r="B38" s="19">
        <v>14</v>
      </c>
      <c r="C38" s="3" t="s">
        <v>51</v>
      </c>
      <c r="D38" s="19">
        <v>28</v>
      </c>
      <c r="E38" s="19"/>
      <c r="F38" s="19"/>
    </row>
    <row r="40" ht="12.75">
      <c r="A40" s="36" t="s">
        <v>123</v>
      </c>
    </row>
    <row r="41" ht="12.75">
      <c r="A41" s="14" t="s">
        <v>121</v>
      </c>
    </row>
    <row r="42" ht="12.75">
      <c r="A42" s="14" t="s">
        <v>122</v>
      </c>
    </row>
    <row r="44" ht="12.75">
      <c r="A44" s="4" t="s">
        <v>349</v>
      </c>
    </row>
    <row r="45" ht="12.75">
      <c r="A45" s="17" t="s">
        <v>351</v>
      </c>
    </row>
    <row r="46" ht="12.75">
      <c r="A46" t="s">
        <v>352</v>
      </c>
    </row>
    <row r="47" ht="12.75">
      <c r="A47" t="s">
        <v>353</v>
      </c>
    </row>
  </sheetData>
  <sheetProtection/>
  <mergeCells count="5">
    <mergeCell ref="Q5:Y5"/>
    <mergeCell ref="G6:I6"/>
    <mergeCell ref="B6:C6"/>
    <mergeCell ref="A5:I5"/>
    <mergeCell ref="J5:P5"/>
  </mergeCells>
  <printOptions/>
  <pageMargins left="0.75" right="0.75" top="1" bottom="1" header="0.5" footer="0.5"/>
  <pageSetup horizontalDpi="600" verticalDpi="600" orientation="portrait" r:id="rId1"/>
  <headerFooter alignWithMargins="0">
    <oddHeader>&amp;c</oddHeader>
    <oddFooter>&amp;c</oddFooter>
  </headerFooter>
</worksheet>
</file>

<file path=xl/worksheets/sheet3.xml><?xml version="1.0" encoding="utf-8"?>
<worksheet xmlns="http://schemas.openxmlformats.org/spreadsheetml/2006/main" xmlns:r="http://schemas.openxmlformats.org/officeDocument/2006/relationships">
  <dimension ref="A1:J61"/>
  <sheetViews>
    <sheetView zoomScalePageLayoutView="0" workbookViewId="0" topLeftCell="A1">
      <selection activeCell="A2" sqref="A2"/>
    </sheetView>
  </sheetViews>
  <sheetFormatPr defaultColWidth="9.140625" defaultRowHeight="12.75"/>
  <cols>
    <col min="1" max="1" width="11.28125" style="0" customWidth="1"/>
    <col min="2" max="2" width="15.57421875" style="0" bestFit="1" customWidth="1"/>
    <col min="3" max="3" width="9.00390625" style="19" customWidth="1"/>
    <col min="4" max="4" width="9.57421875" style="19" customWidth="1"/>
    <col min="5" max="5" width="12.7109375" style="46" customWidth="1"/>
    <col min="6" max="6" width="13.7109375" style="19" customWidth="1"/>
    <col min="7" max="7" width="9.421875" style="19" customWidth="1"/>
    <col min="8" max="8" width="7.8515625" style="19" customWidth="1"/>
    <col min="9" max="9" width="10.8515625" style="19" customWidth="1"/>
    <col min="10" max="10" width="13.28125" style="19" bestFit="1" customWidth="1"/>
  </cols>
  <sheetData>
    <row r="1" spans="1:10" ht="27" customHeight="1">
      <c r="A1" s="131" t="s">
        <v>308</v>
      </c>
      <c r="B1" s="131"/>
      <c r="C1" s="131"/>
      <c r="D1" s="131"/>
      <c r="E1" s="131"/>
      <c r="F1" s="131"/>
      <c r="G1" s="131"/>
      <c r="H1" s="131"/>
      <c r="I1" s="131"/>
      <c r="J1" s="131"/>
    </row>
    <row r="3" spans="1:5" ht="12.75">
      <c r="A3" s="61" t="s">
        <v>216</v>
      </c>
      <c r="E3" s="19"/>
    </row>
    <row r="4" spans="2:10" ht="12.75">
      <c r="B4" s="38"/>
      <c r="E4" s="19"/>
      <c r="F4" s="19" t="s">
        <v>172</v>
      </c>
      <c r="G4" s="46" t="s">
        <v>244</v>
      </c>
      <c r="H4" s="19" t="s">
        <v>86</v>
      </c>
      <c r="I4" s="19" t="s">
        <v>310</v>
      </c>
      <c r="J4" s="19" t="s">
        <v>176</v>
      </c>
    </row>
    <row r="5" spans="1:10" ht="12.75">
      <c r="A5" s="60" t="s">
        <v>129</v>
      </c>
      <c r="B5" s="60" t="s">
        <v>130</v>
      </c>
      <c r="C5" s="56" t="s">
        <v>74</v>
      </c>
      <c r="D5" s="56" t="s">
        <v>201</v>
      </c>
      <c r="E5" s="56" t="s">
        <v>111</v>
      </c>
      <c r="F5" s="59" t="s">
        <v>171</v>
      </c>
      <c r="G5" s="78" t="s">
        <v>245</v>
      </c>
      <c r="H5" s="56" t="s">
        <v>246</v>
      </c>
      <c r="I5" s="56" t="s">
        <v>175</v>
      </c>
      <c r="J5" s="59" t="s">
        <v>168</v>
      </c>
    </row>
    <row r="6" spans="1:10" ht="12.75">
      <c r="A6" s="37" t="str">
        <f>'Hour Data'!A7</f>
        <v>Lila</v>
      </c>
      <c r="B6" s="37" t="str">
        <f>'Hour Data'!B7</f>
        <v>Haba</v>
      </c>
      <c r="C6" s="19">
        <f>'Hour Data'!C7</f>
        <v>15</v>
      </c>
      <c r="D6" s="19" t="str">
        <f>'Hour Data'!D7</f>
        <v>F</v>
      </c>
      <c r="E6" s="19" t="str">
        <f>'Hour Data'!E7</f>
        <v>SCTC</v>
      </c>
      <c r="F6" s="19" t="str">
        <f>IF('Hour Data'!F7="PA","yes","no")</f>
        <v>yes</v>
      </c>
      <c r="G6" s="105">
        <f>'Hour Data'!G7</f>
        <v>9876.35</v>
      </c>
      <c r="H6" s="19" t="str">
        <f>'Hour Data'!H7</f>
        <v>F1</v>
      </c>
      <c r="I6" s="87">
        <f>'Hour Data'!I7</f>
        <v>0.7075655687116595</v>
      </c>
      <c r="J6" s="19">
        <f>'Hour Data'!J7</f>
        <v>7</v>
      </c>
    </row>
    <row r="7" spans="1:10" ht="12.75">
      <c r="A7" s="37" t="str">
        <f>'Hour Data'!A8</f>
        <v>Diana</v>
      </c>
      <c r="B7" s="37" t="str">
        <f>'Hour Data'!B8</f>
        <v>Rossman</v>
      </c>
      <c r="C7" s="19">
        <f>'Hour Data'!C8</f>
        <v>44</v>
      </c>
      <c r="D7" s="19" t="str">
        <f>'Hour Data'!D8</f>
        <v>F</v>
      </c>
      <c r="E7" s="19" t="str">
        <f>'Hour Data'!E8</f>
        <v>SCTC</v>
      </c>
      <c r="F7" s="19" t="str">
        <f>IF('Hour Data'!F8="PA","yes","no")</f>
        <v>yes</v>
      </c>
      <c r="G7" s="105">
        <f>'Hour Data'!G8</f>
        <v>9397.68</v>
      </c>
      <c r="H7" s="19" t="str">
        <f>'Hour Data'!H8</f>
        <v>F2</v>
      </c>
      <c r="I7" s="87">
        <f>'Hour Data'!I8</f>
        <v>0.6858235229119907</v>
      </c>
      <c r="J7" s="19">
        <f>'Hour Data'!J8</f>
        <v>11</v>
      </c>
    </row>
    <row r="8" spans="1:10" ht="12.75">
      <c r="A8" s="37" t="str">
        <f>'Hour Data'!A9</f>
        <v>Karen</v>
      </c>
      <c r="B8" s="37" t="str">
        <f>'Hour Data'!B9</f>
        <v>Stoyanowski</v>
      </c>
      <c r="C8" s="19">
        <f>'Hour Data'!C9</f>
        <v>56</v>
      </c>
      <c r="D8" s="19" t="str">
        <f>'Hour Data'!D9</f>
        <v>F</v>
      </c>
      <c r="E8" s="19" t="str">
        <f>'Hour Data'!E9</f>
        <v>SRW</v>
      </c>
      <c r="F8" s="19" t="str">
        <f>IF('Hour Data'!F9="PA","yes","no")</f>
        <v>yes</v>
      </c>
      <c r="G8" s="105">
        <f>'Hour Data'!G9</f>
        <v>9120.6</v>
      </c>
      <c r="H8" s="19" t="str">
        <f>'Hour Data'!H9</f>
        <v>F3</v>
      </c>
      <c r="I8" s="87">
        <f>'Hour Data'!I9</f>
        <v>0.746193078880425</v>
      </c>
      <c r="J8" s="19">
        <f>'Hour Data'!J9</f>
        <v>6</v>
      </c>
    </row>
    <row r="9" spans="1:10" ht="12.75">
      <c r="A9" s="37" t="str">
        <f>'Hour Data'!A10</f>
        <v>Paula</v>
      </c>
      <c r="B9" s="37" t="str">
        <f>'Hour Data'!B10</f>
        <v>Mendell</v>
      </c>
      <c r="C9" s="19">
        <f>'Hour Data'!C10</f>
        <v>61</v>
      </c>
      <c r="D9" s="19" t="str">
        <f>'Hour Data'!D10</f>
        <v>F</v>
      </c>
      <c r="E9" s="19" t="str">
        <f>'Hour Data'!E10</f>
        <v>SRW</v>
      </c>
      <c r="F9" s="19" t="str">
        <f>IF('Hour Data'!F10="PA","yes","no")</f>
        <v>yes</v>
      </c>
      <c r="G9" s="105">
        <f>'Hour Data'!G10</f>
        <v>9097.67</v>
      </c>
      <c r="H9" s="19" t="str">
        <f>'Hour Data'!H10</f>
        <v>F4</v>
      </c>
      <c r="I9" s="87">
        <f>'Hour Data'!I10</f>
        <v>0.7896137538947089</v>
      </c>
      <c r="J9" s="19">
        <f>'Hour Data'!J10</f>
        <v>2</v>
      </c>
    </row>
    <row r="10" spans="1:10" ht="12.75">
      <c r="A10" s="37" t="str">
        <f>'Hour Data'!A11</f>
        <v>Nicolle</v>
      </c>
      <c r="B10" s="37" t="str">
        <f>'Hour Data'!B11</f>
        <v>Goldman</v>
      </c>
      <c r="C10" s="19">
        <f>'Hour Data'!C11</f>
        <v>52</v>
      </c>
      <c r="D10" s="19" t="str">
        <f>'Hour Data'!D11</f>
        <v>F</v>
      </c>
      <c r="E10" s="19" t="str">
        <f>'Hour Data'!E11</f>
        <v>SRW</v>
      </c>
      <c r="F10" s="19" t="str">
        <f>IF('Hour Data'!F11="PA","yes","no")</f>
        <v>yes</v>
      </c>
      <c r="G10" s="105">
        <f>'Hour Data'!G11</f>
        <v>8397.14</v>
      </c>
      <c r="H10" s="19" t="str">
        <f>'Hour Data'!H11</f>
        <v>F5</v>
      </c>
      <c r="I10" s="87">
        <f>'Hour Data'!I11</f>
        <v>0.6552759789162128</v>
      </c>
      <c r="J10" s="19">
        <f>'Hour Data'!J11</f>
        <v>15</v>
      </c>
    </row>
    <row r="11" spans="1:10" ht="12.75">
      <c r="A11" s="37" t="str">
        <f>'Hour Data'!A12</f>
        <v>Doris</v>
      </c>
      <c r="B11" s="37" t="str">
        <f>'Hour Data'!B12</f>
        <v>Cassels</v>
      </c>
      <c r="C11" s="19">
        <f>'Hour Data'!C12</f>
        <v>71</v>
      </c>
      <c r="D11" s="19" t="str">
        <f>'Hour Data'!D12</f>
        <v>F</v>
      </c>
      <c r="E11" s="19" t="str">
        <f>'Hour Data'!E12</f>
        <v>MRW</v>
      </c>
      <c r="F11" s="19" t="str">
        <f>IF('Hour Data'!F12="PA","yes","no")</f>
        <v>yes</v>
      </c>
      <c r="G11" s="105">
        <f>'Hour Data'!G12</f>
        <v>8137.42</v>
      </c>
      <c r="H11" s="19" t="str">
        <f>'Hour Data'!H12</f>
        <v>F6</v>
      </c>
      <c r="I11" s="87">
        <f>'Hour Data'!I12</f>
        <v>0.8080080355095556</v>
      </c>
      <c r="J11" s="19">
        <f>'Hour Data'!J12</f>
        <v>1</v>
      </c>
    </row>
    <row r="12" spans="1:10" ht="12.75">
      <c r="A12" s="37" t="str">
        <f>'Hour Data'!A13</f>
        <v>Ann</v>
      </c>
      <c r="B12" s="37" t="str">
        <f>'Hour Data'!B13</f>
        <v>Lee</v>
      </c>
      <c r="C12" s="19">
        <f>'Hour Data'!C13</f>
        <v>62</v>
      </c>
      <c r="D12" s="19" t="str">
        <f>'Hour Data'!D13</f>
        <v>F</v>
      </c>
      <c r="E12" s="19" t="str">
        <f>'Hour Data'!E13</f>
        <v>MRW</v>
      </c>
      <c r="F12" s="19" t="str">
        <f>IF('Hour Data'!F13="PA","yes","no")</f>
        <v>yes</v>
      </c>
      <c r="G12" s="105">
        <f>'Hour Data'!G13</f>
        <v>8078.57</v>
      </c>
      <c r="H12" s="19" t="str">
        <f>'Hour Data'!H13</f>
        <v>F7</v>
      </c>
      <c r="I12" s="87">
        <f>'Hour Data'!I13</f>
        <v>0.7043390133356306</v>
      </c>
      <c r="J12" s="19">
        <f>'Hour Data'!J13</f>
        <v>8</v>
      </c>
    </row>
    <row r="13" spans="1:10" ht="12.75">
      <c r="A13" s="37" t="str">
        <f>'Hour Data'!A14</f>
        <v>Melissa</v>
      </c>
      <c r="B13" s="37" t="str">
        <f>'Hour Data'!B14</f>
        <v>Woodburn</v>
      </c>
      <c r="C13" s="19">
        <f>'Hour Data'!C14</f>
        <v>58</v>
      </c>
      <c r="D13" s="19" t="str">
        <f>'Hour Data'!D14</f>
        <v>F</v>
      </c>
      <c r="E13" s="19" t="str">
        <f>'Hour Data'!E14</f>
        <v>MRW</v>
      </c>
      <c r="F13" s="19" t="str">
        <f>IF('Hour Data'!F14="PA","yes","no")</f>
        <v>yes</v>
      </c>
      <c r="G13" s="105">
        <f>'Hour Data'!G14</f>
        <v>8007.24</v>
      </c>
      <c r="H13" s="19" t="str">
        <f>'Hour Data'!H14</f>
        <v>F8</v>
      </c>
      <c r="I13" s="87">
        <f>'Hour Data'!I14</f>
        <v>0.6646814441862747</v>
      </c>
      <c r="J13" s="19">
        <f>'Hour Data'!J14</f>
        <v>13</v>
      </c>
    </row>
    <row r="14" spans="1:10" ht="12.75">
      <c r="A14" s="37" t="str">
        <f>'Hour Data'!A15</f>
        <v>Phyllis</v>
      </c>
      <c r="B14" s="37" t="str">
        <f>'Hour Data'!B15</f>
        <v>Abbate</v>
      </c>
      <c r="C14" s="19">
        <f>'Hour Data'!C15</f>
        <v>70</v>
      </c>
      <c r="D14" s="19" t="str">
        <f>'Hour Data'!D15</f>
        <v>F</v>
      </c>
      <c r="E14" s="19" t="str">
        <f>'Hour Data'!E15</f>
        <v>MRW</v>
      </c>
      <c r="F14" s="19" t="str">
        <f>IF('Hour Data'!F15="PA","yes","no")</f>
        <v>yes</v>
      </c>
      <c r="G14" s="105">
        <f>'Hour Data'!G15</f>
        <v>7732.56</v>
      </c>
      <c r="H14" s="19" t="str">
        <f>'Hour Data'!H15</f>
        <v>F9</v>
      </c>
      <c r="I14" s="87">
        <f>'Hour Data'!I15</f>
        <v>0.7521709236533213</v>
      </c>
      <c r="J14" s="19">
        <f>'Hour Data'!J15</f>
        <v>4</v>
      </c>
    </row>
    <row r="15" spans="1:10" ht="12.75">
      <c r="A15" s="37" t="str">
        <f>'Hour Data'!A16</f>
        <v>Susan</v>
      </c>
      <c r="B15" s="37" t="str">
        <f>'Hour Data'!B16</f>
        <v>Porth</v>
      </c>
      <c r="C15" s="19">
        <f>'Hour Data'!C16</f>
        <v>62</v>
      </c>
      <c r="D15" s="19" t="str">
        <f>'Hour Data'!D16</f>
        <v>F</v>
      </c>
      <c r="E15" s="19" t="str">
        <f>'Hour Data'!E16</f>
        <v>MRW</v>
      </c>
      <c r="F15" s="19" t="str">
        <f>IF('Hour Data'!F16="PA","yes","no")</f>
        <v>yes</v>
      </c>
      <c r="G15" s="105">
        <f>'Hour Data'!G16</f>
        <v>7701.95</v>
      </c>
      <c r="H15" s="19" t="str">
        <f>'Hour Data'!H16</f>
        <v>F10</v>
      </c>
      <c r="I15" s="87">
        <f>'Hour Data'!I16</f>
        <v>0.6689471074750585</v>
      </c>
      <c r="J15" s="19">
        <f>'Hour Data'!J16</f>
        <v>12</v>
      </c>
    </row>
    <row r="16" spans="1:10" ht="12.75">
      <c r="A16" s="37" t="str">
        <f>'Hour Data'!A17</f>
        <v>Helen</v>
      </c>
      <c r="B16" s="37" t="str">
        <f>'Hour Data'!B17</f>
        <v>Storrs</v>
      </c>
      <c r="C16" s="19">
        <f>'Hour Data'!C17</f>
        <v>44</v>
      </c>
      <c r="D16" s="19" t="str">
        <f>'Hour Data'!D17</f>
        <v>F</v>
      </c>
      <c r="E16" s="19" t="str">
        <f>'Hour Data'!E17</f>
        <v>SRW</v>
      </c>
      <c r="F16" s="19" t="str">
        <f>IF('Hour Data'!F17="PA","yes","no")</f>
        <v>yes</v>
      </c>
      <c r="G16" s="105">
        <f>'Hour Data'!G17</f>
        <v>7313.88</v>
      </c>
      <c r="H16" s="19" t="str">
        <f>'Hour Data'!H17</f>
        <v>F11</v>
      </c>
      <c r="I16" s="87">
        <f>'Hour Data'!I17</f>
        <v>0.5266757460137336</v>
      </c>
      <c r="J16" s="19">
        <f>'Hour Data'!J17</f>
        <v>18</v>
      </c>
    </row>
    <row r="17" spans="1:10" ht="12.75">
      <c r="A17" s="80" t="str">
        <f>'Hour Data'!A18</f>
        <v>Linda</v>
      </c>
      <c r="B17" s="80" t="str">
        <f>'Hour Data'!B18</f>
        <v>Burnett</v>
      </c>
      <c r="C17" s="56">
        <f>'Hour Data'!C18</f>
        <v>73</v>
      </c>
      <c r="D17" s="56" t="str">
        <f>'Hour Data'!D18</f>
        <v>F</v>
      </c>
      <c r="E17" s="56" t="str">
        <f>'Hour Data'!E18</f>
        <v>MRW</v>
      </c>
      <c r="F17" s="56" t="str">
        <f>IF('Hour Data'!F18="PA","yes","no")</f>
        <v>yes</v>
      </c>
      <c r="G17" s="106">
        <f>'Hour Data'!G18</f>
        <v>6563.87</v>
      </c>
      <c r="H17" s="56" t="str">
        <f>'Hour Data'!H18</f>
        <v>F12</v>
      </c>
      <c r="I17" s="88">
        <f>'Hour Data'!I18</f>
        <v>0.6599641263826865</v>
      </c>
      <c r="J17" s="56">
        <f>'Hour Data'!J18</f>
        <v>14</v>
      </c>
    </row>
    <row r="18" spans="1:10" ht="12.75">
      <c r="A18" s="37" t="str">
        <f>'Hour Data'!A19</f>
        <v>Kevin</v>
      </c>
      <c r="B18" s="37" t="str">
        <f>'Hour Data'!B19</f>
        <v>Killingsworth</v>
      </c>
      <c r="C18" s="19">
        <f>'Hour Data'!C19</f>
        <v>55</v>
      </c>
      <c r="D18" s="19" t="str">
        <f>'Hour Data'!D19</f>
        <v>M</v>
      </c>
      <c r="E18" s="19" t="str">
        <f>'Hour Data'!E19</f>
        <v>MRW</v>
      </c>
      <c r="F18" s="19" t="str">
        <f>IF('Hour Data'!F19="PA","yes","no")</f>
        <v>yes</v>
      </c>
      <c r="G18" s="105">
        <f>'Hour Data'!G19</f>
        <v>10204.16</v>
      </c>
      <c r="H18" s="19" t="str">
        <f>'Hour Data'!H19</f>
        <v>M1</v>
      </c>
      <c r="I18" s="87">
        <f>'Hour Data'!I19</f>
        <v>0.748585421351898</v>
      </c>
      <c r="J18" s="19">
        <f>'Hour Data'!J19</f>
        <v>5</v>
      </c>
    </row>
    <row r="19" spans="1:10" ht="12.75">
      <c r="A19" s="37" t="str">
        <f>'Hour Data'!A20</f>
        <v>Alex</v>
      </c>
      <c r="B19" s="37" t="str">
        <f>'Hour Data'!B20</f>
        <v>Price</v>
      </c>
      <c r="C19" s="19">
        <f>'Hour Data'!C20</f>
        <v>29</v>
      </c>
      <c r="D19" s="19" t="str">
        <f>'Hour Data'!D20</f>
        <v>M</v>
      </c>
      <c r="E19" s="19" t="str">
        <f>'Hour Data'!E20</f>
        <v>PRO</v>
      </c>
      <c r="F19" s="19" t="str">
        <f>IF('Hour Data'!F20="PA","yes","no")</f>
        <v>yes</v>
      </c>
      <c r="G19" s="105">
        <f>'Hour Data'!G20</f>
        <v>10111.87</v>
      </c>
      <c r="H19" s="19" t="str">
        <f>'Hour Data'!H20</f>
        <v>M2</v>
      </c>
      <c r="I19" s="87">
        <f>'Hour Data'!I20</f>
        <v>0.6272241499624903</v>
      </c>
      <c r="J19" s="19">
        <f>'Hour Data'!J20</f>
        <v>16</v>
      </c>
    </row>
    <row r="20" spans="1:10" ht="12.75">
      <c r="A20" s="37" t="str">
        <f>'Hour Data'!A21</f>
        <v>Joe</v>
      </c>
      <c r="B20" s="37" t="str">
        <f>'Hour Data'!B21</f>
        <v>Berendt</v>
      </c>
      <c r="C20" s="19">
        <f>'Hour Data'!C21</f>
        <v>55</v>
      </c>
      <c r="D20" s="19" t="str">
        <f>'Hour Data'!D21</f>
        <v>M</v>
      </c>
      <c r="E20" s="19" t="str">
        <f>'Hour Data'!E21</f>
        <v>SRW</v>
      </c>
      <c r="F20" s="19" t="str">
        <f>IF('Hour Data'!F21="PA","yes","no")</f>
        <v>yes</v>
      </c>
      <c r="G20" s="105">
        <f>'Hour Data'!G21</f>
        <v>9454.68</v>
      </c>
      <c r="H20" s="19" t="str">
        <f>'Hour Data'!H21</f>
        <v>M3</v>
      </c>
      <c r="I20" s="87">
        <f>'Hour Data'!I21</f>
        <v>0.69172360464921</v>
      </c>
      <c r="J20" s="19">
        <f>'Hour Data'!J21</f>
        <v>10</v>
      </c>
    </row>
    <row r="21" spans="1:10" ht="12.75">
      <c r="A21" s="37" t="str">
        <f>'Hour Data'!A22</f>
        <v>Art</v>
      </c>
      <c r="B21" s="37" t="str">
        <f>'Hour Data'!B22</f>
        <v>Klein</v>
      </c>
      <c r="C21" s="19">
        <f>'Hour Data'!C22</f>
        <v>57</v>
      </c>
      <c r="D21" s="19" t="str">
        <f>'Hour Data'!D22</f>
        <v>M</v>
      </c>
      <c r="E21" s="19" t="str">
        <f>'Hour Data'!E22</f>
        <v>SCTC</v>
      </c>
      <c r="F21" s="19" t="str">
        <f>IF('Hour Data'!F22="PA","yes","no")</f>
        <v>yes</v>
      </c>
      <c r="G21" s="105">
        <f>'Hour Data'!G22</f>
        <v>9305.47</v>
      </c>
      <c r="H21" s="19" t="str">
        <f>'Hour Data'!H22</f>
        <v>M4</v>
      </c>
      <c r="I21" s="87">
        <f>'Hour Data'!I22</f>
        <v>0.6926715111464187</v>
      </c>
      <c r="J21" s="19">
        <f>'Hour Data'!J22</f>
        <v>9</v>
      </c>
    </row>
    <row r="22" spans="1:10" ht="12.75">
      <c r="A22" s="37" t="str">
        <f>'Hour Data'!A23</f>
        <v>Ed</v>
      </c>
      <c r="B22" s="37" t="str">
        <f>'Hour Data'!B23</f>
        <v>Lane</v>
      </c>
      <c r="C22" s="19">
        <f>'Hour Data'!C23</f>
        <v>74</v>
      </c>
      <c r="D22" s="19" t="str">
        <f>'Hour Data'!D23</f>
        <v>M</v>
      </c>
      <c r="E22" s="19" t="str">
        <f>'Hour Data'!E23</f>
        <v>MRW</v>
      </c>
      <c r="F22" s="19" t="str">
        <f>IF('Hour Data'!F23="PA","yes","no")</f>
        <v>yes</v>
      </c>
      <c r="G22" s="105">
        <f>'Hour Data'!G23</f>
        <v>8536.08</v>
      </c>
      <c r="H22" s="19" t="str">
        <f>'Hour Data'!H23</f>
        <v>M5</v>
      </c>
      <c r="I22" s="87">
        <f>'Hour Data'!I23</f>
        <v>0.7673323627455827</v>
      </c>
      <c r="J22" s="19">
        <f>'Hour Data'!J23</f>
        <v>3</v>
      </c>
    </row>
    <row r="23" spans="1:10" ht="12.75">
      <c r="A23" s="80" t="str">
        <f>'Hour Data'!A24</f>
        <v>Wally</v>
      </c>
      <c r="B23" s="80" t="str">
        <f>'Hour Data'!B24</f>
        <v>Stewart</v>
      </c>
      <c r="C23" s="56">
        <f>'Hour Data'!C24</f>
        <v>65</v>
      </c>
      <c r="D23" s="56" t="str">
        <f>'Hour Data'!D24</f>
        <v>M</v>
      </c>
      <c r="E23" s="56" t="str">
        <f>'Hour Data'!E24</f>
        <v>MRW</v>
      </c>
      <c r="F23" s="56" t="str">
        <f>IF('Hour Data'!F24="PA","yes","no")</f>
        <v>yes</v>
      </c>
      <c r="G23" s="106">
        <f>'Hour Data'!G24</f>
        <v>7669.88</v>
      </c>
      <c r="H23" s="56" t="str">
        <f>'Hour Data'!H24</f>
        <v>M6</v>
      </c>
      <c r="I23" s="88">
        <f>'Hour Data'!I24</f>
        <v>0.6145512194816369</v>
      </c>
      <c r="J23" s="56">
        <f>'Hour Data'!J24</f>
        <v>17</v>
      </c>
    </row>
    <row r="24" spans="1:9" ht="12.75">
      <c r="A24" s="37"/>
      <c r="B24" s="37"/>
      <c r="E24" s="19"/>
      <c r="G24" s="89"/>
      <c r="I24" s="87"/>
    </row>
    <row r="25" spans="1:9" ht="12.75">
      <c r="A25" t="s">
        <v>303</v>
      </c>
      <c r="E25" s="19"/>
      <c r="I25" s="62"/>
    </row>
    <row r="26" spans="5:9" ht="12.75">
      <c r="E26" s="19"/>
      <c r="I26" s="62"/>
    </row>
    <row r="27" spans="1:9" ht="12.75">
      <c r="A27" s="5" t="s">
        <v>210</v>
      </c>
      <c r="I27" s="62"/>
    </row>
    <row r="28" spans="1:9" ht="12.75">
      <c r="A28" s="67" t="s">
        <v>111</v>
      </c>
      <c r="B28" s="5" t="s">
        <v>237</v>
      </c>
      <c r="C28" s="67" t="s">
        <v>120</v>
      </c>
      <c r="I28" s="62"/>
    </row>
    <row r="29" spans="1:9" ht="12.75">
      <c r="A29" s="20" t="s">
        <v>253</v>
      </c>
      <c r="B29" s="62">
        <f>AVERAGE(I11,I22,I14)</f>
        <v>0.77583710730282</v>
      </c>
      <c r="C29" s="20">
        <v>10</v>
      </c>
      <c r="D29" s="38" t="s">
        <v>304</v>
      </c>
      <c r="I29" s="62"/>
    </row>
    <row r="30" spans="1:9" ht="12.75">
      <c r="A30" s="20" t="s">
        <v>166</v>
      </c>
      <c r="B30" s="85">
        <f>AVERAGE(I9,I8,I20)</f>
        <v>0.7425101458081146</v>
      </c>
      <c r="C30" s="19">
        <v>8</v>
      </c>
      <c r="D30" s="38" t="s">
        <v>305</v>
      </c>
      <c r="I30" s="62"/>
    </row>
    <row r="31" spans="1:9" ht="12.75">
      <c r="A31" s="20" t="s">
        <v>165</v>
      </c>
      <c r="B31" s="62">
        <f>AVERAGE(I6:I7,I21)</f>
        <v>0.6953535342566896</v>
      </c>
      <c r="C31" s="20">
        <v>7</v>
      </c>
      <c r="D31" s="38" t="s">
        <v>306</v>
      </c>
      <c r="I31" s="62"/>
    </row>
    <row r="32" spans="1:9" ht="12.75">
      <c r="A32" s="26"/>
      <c r="B32" s="62"/>
      <c r="C32" s="20"/>
      <c r="I32" s="62"/>
    </row>
    <row r="33" spans="1:9" ht="12.75">
      <c r="A33" s="26" t="s">
        <v>307</v>
      </c>
      <c r="B33" s="62"/>
      <c r="C33" s="20"/>
      <c r="I33" s="62"/>
    </row>
    <row r="34" spans="2:9" ht="12.75">
      <c r="B34" s="62"/>
      <c r="C34" s="19" t="s">
        <v>167</v>
      </c>
      <c r="D34" s="19" t="s">
        <v>167</v>
      </c>
      <c r="I34" s="62"/>
    </row>
    <row r="35" spans="1:10" ht="12.75">
      <c r="A35" s="133" t="s">
        <v>311</v>
      </c>
      <c r="B35" s="133"/>
      <c r="C35" s="133"/>
      <c r="D35" s="133"/>
      <c r="E35" s="133"/>
      <c r="F35" s="133"/>
      <c r="G35" s="133"/>
      <c r="H35" s="133"/>
      <c r="I35" s="133"/>
      <c r="J35" s="133"/>
    </row>
    <row r="36" spans="1:10" ht="12.75">
      <c r="A36" s="38" t="s">
        <v>241</v>
      </c>
      <c r="B36" s="38"/>
      <c r="C36" s="38"/>
      <c r="D36" s="38"/>
      <c r="E36" s="38"/>
      <c r="F36" s="38"/>
      <c r="G36" s="38"/>
      <c r="H36" s="38"/>
      <c r="I36" s="38"/>
      <c r="J36" s="38"/>
    </row>
    <row r="37" spans="5:9" ht="12.75">
      <c r="E37" s="19"/>
      <c r="I37" s="62"/>
    </row>
    <row r="38" spans="1:9" ht="12.75">
      <c r="A38" s="5" t="s">
        <v>217</v>
      </c>
      <c r="E38" s="19"/>
      <c r="I38" s="62"/>
    </row>
    <row r="39" spans="1:9" ht="12.75">
      <c r="A39" s="17" t="s">
        <v>235</v>
      </c>
      <c r="E39" s="19"/>
      <c r="I39" s="62"/>
    </row>
    <row r="40" spans="1:9" ht="12.75">
      <c r="A40" t="s">
        <v>220</v>
      </c>
      <c r="E40" s="19"/>
      <c r="I40" s="62"/>
    </row>
    <row r="41" spans="1:9" ht="12.75">
      <c r="A41" t="s">
        <v>221</v>
      </c>
      <c r="E41" s="19"/>
      <c r="I41" s="62"/>
    </row>
    <row r="42" spans="1:9" ht="12.75">
      <c r="A42" t="s">
        <v>247</v>
      </c>
      <c r="E42" s="19"/>
      <c r="I42" s="62"/>
    </row>
    <row r="43" spans="1:9" ht="12.75">
      <c r="A43" t="s">
        <v>248</v>
      </c>
      <c r="E43" s="19"/>
      <c r="I43" s="62"/>
    </row>
    <row r="44" spans="1:9" ht="12.75">
      <c r="A44" t="s">
        <v>219</v>
      </c>
      <c r="E44" s="19"/>
      <c r="I44" s="62"/>
    </row>
    <row r="45" spans="1:5" ht="12.75">
      <c r="A45" t="s">
        <v>233</v>
      </c>
      <c r="E45" s="19"/>
    </row>
    <row r="46" spans="1:5" ht="12.75">
      <c r="A46" t="s">
        <v>227</v>
      </c>
      <c r="E46" s="19"/>
    </row>
    <row r="47" spans="1:5" ht="12.75">
      <c r="A47" t="s">
        <v>223</v>
      </c>
      <c r="E47" s="19"/>
    </row>
    <row r="48" spans="1:5" ht="12.75">
      <c r="A48" t="s">
        <v>249</v>
      </c>
      <c r="E48" s="19"/>
    </row>
    <row r="49" spans="1:5" ht="12.75">
      <c r="A49" t="s">
        <v>222</v>
      </c>
      <c r="E49" s="19"/>
    </row>
    <row r="50" spans="1:5" ht="12.75">
      <c r="A50" t="s">
        <v>234</v>
      </c>
      <c r="E50" s="19"/>
    </row>
    <row r="51" ht="12.75">
      <c r="E51" s="19"/>
    </row>
    <row r="52" ht="12.75">
      <c r="E52" s="19"/>
    </row>
    <row r="53" ht="12.75">
      <c r="E53" s="19"/>
    </row>
    <row r="54" ht="12.75">
      <c r="E54" s="19"/>
    </row>
    <row r="55" ht="12.75">
      <c r="E55" s="19"/>
    </row>
    <row r="56" ht="12.75">
      <c r="E56" s="19"/>
    </row>
    <row r="57" ht="12.75">
      <c r="E57" s="19"/>
    </row>
    <row r="58" ht="12.75">
      <c r="E58" s="19"/>
    </row>
    <row r="59" ht="12.75">
      <c r="E59" s="19"/>
    </row>
    <row r="60" ht="12.75">
      <c r="E60" s="19"/>
    </row>
    <row r="61" ht="12.75">
      <c r="E61" s="19"/>
    </row>
  </sheetData>
  <sheetProtection/>
  <mergeCells count="2">
    <mergeCell ref="A1:J1"/>
    <mergeCell ref="A35:J35"/>
  </mergeCells>
  <printOptions/>
  <pageMargins left="0.75" right="0.75" top="1" bottom="1" header="0.5" footer="0.5"/>
  <pageSetup horizontalDpi="600" verticalDpi="600" orientation="portrait" scale="75" r:id="rId1"/>
  <headerFooter alignWithMargins="0">
    <oddHeader>&amp;c</oddHeader>
    <oddFooter>&amp;c</oddFooter>
  </headerFooter>
</worksheet>
</file>

<file path=xl/worksheets/sheet4.xml><?xml version="1.0" encoding="utf-8"?>
<worksheet xmlns="http://schemas.openxmlformats.org/spreadsheetml/2006/main" xmlns:r="http://schemas.openxmlformats.org/officeDocument/2006/relationships">
  <dimension ref="A1:AG59"/>
  <sheetViews>
    <sheetView zoomScalePageLayoutView="0" workbookViewId="0" topLeftCell="A1">
      <selection activeCell="H7" sqref="H7"/>
    </sheetView>
  </sheetViews>
  <sheetFormatPr defaultColWidth="9.140625" defaultRowHeight="12.75"/>
  <cols>
    <col min="1" max="1" width="12.00390625" style="0" customWidth="1"/>
    <col min="2" max="2" width="12.140625" style="0" customWidth="1"/>
    <col min="3" max="3" width="9.00390625" style="0" customWidth="1"/>
    <col min="4" max="4" width="8.8515625" style="0" customWidth="1"/>
    <col min="5" max="5" width="9.00390625" style="0" customWidth="1"/>
    <col min="6" max="6" width="9.7109375" style="0" customWidth="1"/>
    <col min="7" max="7" width="8.8515625" style="0" customWidth="1"/>
    <col min="8" max="8" width="8.140625" style="0" customWidth="1"/>
    <col min="9" max="9" width="8.00390625" style="0" customWidth="1"/>
    <col min="10" max="10" width="6.00390625" style="0" customWidth="1"/>
    <col min="11" max="12" width="7.00390625" style="0" customWidth="1"/>
    <col min="13" max="13" width="6.421875" style="0" customWidth="1"/>
    <col min="14" max="14" width="9.28125" style="0" customWidth="1"/>
    <col min="15" max="15" width="8.421875" style="0" customWidth="1"/>
    <col min="16" max="16" width="7.7109375" style="0" bestFit="1" customWidth="1"/>
    <col min="17" max="17" width="8.140625" style="46" customWidth="1"/>
    <col min="18" max="18" width="6.00390625" style="46" bestFit="1" customWidth="1"/>
    <col min="19" max="19" width="6.140625" style="46" customWidth="1"/>
    <col min="20" max="20" width="5.28125" style="46" bestFit="1" customWidth="1"/>
    <col min="21" max="21" width="6.8515625" style="0" customWidth="1"/>
    <col min="23" max="23" width="7.57421875" style="0" customWidth="1"/>
    <col min="28" max="28" width="6.421875" style="0" customWidth="1"/>
    <col min="29" max="29" width="7.8515625" style="0" customWidth="1"/>
    <col min="33" max="33" width="8.00390625" style="0" customWidth="1"/>
  </cols>
  <sheetData>
    <row r="1" ht="12.75">
      <c r="A1" s="5" t="s">
        <v>128</v>
      </c>
    </row>
    <row r="2" ht="12.75">
      <c r="A2" t="s">
        <v>147</v>
      </c>
    </row>
    <row r="4" spans="1:25" ht="12.75">
      <c r="A4" s="86" t="s">
        <v>242</v>
      </c>
      <c r="B4" s="45">
        <v>40622</v>
      </c>
      <c r="D4" s="75" t="s">
        <v>243</v>
      </c>
      <c r="E4" t="s">
        <v>309</v>
      </c>
      <c r="H4" s="55"/>
      <c r="O4" s="138" t="s">
        <v>138</v>
      </c>
      <c r="P4" s="138"/>
      <c r="Q4" s="138"/>
      <c r="R4" s="115"/>
      <c r="S4" s="115"/>
      <c r="T4" s="115"/>
      <c r="Y4" s="48"/>
    </row>
    <row r="5" spans="1:33" ht="12.75">
      <c r="A5" s="39" t="s">
        <v>15</v>
      </c>
      <c r="B5" s="42"/>
      <c r="C5" s="42"/>
      <c r="D5" s="42"/>
      <c r="E5" s="42"/>
      <c r="F5" s="42"/>
      <c r="G5" s="42"/>
      <c r="H5" s="129" t="s">
        <v>132</v>
      </c>
      <c r="I5" s="128" t="s">
        <v>74</v>
      </c>
      <c r="J5" s="49" t="s">
        <v>77</v>
      </c>
      <c r="K5" s="49" t="s">
        <v>119</v>
      </c>
      <c r="L5" s="49" t="s">
        <v>119</v>
      </c>
      <c r="M5" s="49" t="s">
        <v>161</v>
      </c>
      <c r="N5" s="49"/>
      <c r="O5" s="52" t="s">
        <v>225</v>
      </c>
      <c r="P5" s="52" t="s">
        <v>225</v>
      </c>
      <c r="Q5" s="52" t="s">
        <v>163</v>
      </c>
      <c r="R5" s="52" t="s">
        <v>344</v>
      </c>
      <c r="S5" s="52" t="s">
        <v>345</v>
      </c>
      <c r="T5" s="52" t="s">
        <v>348</v>
      </c>
      <c r="U5" s="52" t="s">
        <v>14</v>
      </c>
      <c r="V5" s="52"/>
      <c r="W5" s="52"/>
      <c r="X5" s="52"/>
      <c r="Y5" s="52"/>
      <c r="Z5" s="52"/>
      <c r="AA5" s="51"/>
      <c r="AB5" s="52" t="s">
        <v>14</v>
      </c>
      <c r="AC5" s="52"/>
      <c r="AD5" s="52"/>
      <c r="AE5" s="52"/>
      <c r="AF5" s="52"/>
      <c r="AG5" s="51"/>
    </row>
    <row r="6" spans="1:33" ht="12.75">
      <c r="A6" s="6" t="s">
        <v>129</v>
      </c>
      <c r="B6" s="6" t="s">
        <v>130</v>
      </c>
      <c r="C6" s="44" t="s">
        <v>74</v>
      </c>
      <c r="D6" s="21" t="s">
        <v>139</v>
      </c>
      <c r="E6" s="44" t="s">
        <v>111</v>
      </c>
      <c r="F6" s="44" t="s">
        <v>112</v>
      </c>
      <c r="G6" s="44" t="s">
        <v>131</v>
      </c>
      <c r="H6" s="44" t="s">
        <v>86</v>
      </c>
      <c r="I6" s="53" t="s">
        <v>73</v>
      </c>
      <c r="J6" s="21" t="s">
        <v>72</v>
      </c>
      <c r="K6" s="21" t="s">
        <v>72</v>
      </c>
      <c r="L6" s="21" t="s">
        <v>120</v>
      </c>
      <c r="M6" s="22" t="s">
        <v>72</v>
      </c>
      <c r="N6" s="44" t="s">
        <v>89</v>
      </c>
      <c r="O6" s="44" t="s">
        <v>134</v>
      </c>
      <c r="P6" s="44" t="s">
        <v>143</v>
      </c>
      <c r="Q6" s="44" t="s">
        <v>162</v>
      </c>
      <c r="R6" s="44" t="s">
        <v>347</v>
      </c>
      <c r="S6" s="44" t="s">
        <v>347</v>
      </c>
      <c r="T6" s="44" t="s">
        <v>72</v>
      </c>
      <c r="U6" s="44" t="s">
        <v>144</v>
      </c>
      <c r="V6" s="44" t="s">
        <v>146</v>
      </c>
      <c r="W6" s="44" t="s">
        <v>140</v>
      </c>
      <c r="X6" s="44" t="s">
        <v>136</v>
      </c>
      <c r="Y6" s="44" t="s">
        <v>135</v>
      </c>
      <c r="Z6" s="44" t="s">
        <v>137</v>
      </c>
      <c r="AA6" s="6" t="s">
        <v>141</v>
      </c>
      <c r="AB6" s="44" t="s">
        <v>145</v>
      </c>
      <c r="AC6" s="44" t="s">
        <v>140</v>
      </c>
      <c r="AD6" s="44" t="s">
        <v>136</v>
      </c>
      <c r="AE6" s="44" t="s">
        <v>135</v>
      </c>
      <c r="AF6" s="44" t="s">
        <v>137</v>
      </c>
      <c r="AG6" s="6" t="s">
        <v>142</v>
      </c>
    </row>
    <row r="7" spans="1:33" ht="12.75">
      <c r="A7" t="s">
        <v>251</v>
      </c>
      <c r="B7" t="s">
        <v>252</v>
      </c>
      <c r="C7" s="2">
        <v>15</v>
      </c>
      <c r="D7" s="19" t="s">
        <v>250</v>
      </c>
      <c r="E7" s="46" t="s">
        <v>165</v>
      </c>
      <c r="F7" s="46" t="s">
        <v>114</v>
      </c>
      <c r="G7" s="102">
        <v>9876.35</v>
      </c>
      <c r="H7" s="46" t="str">
        <f>CONCATENATE(D7,T7)</f>
        <v>F1</v>
      </c>
      <c r="I7" s="47">
        <f>(Z7*(AG7-AA7)+AF7*AA7)/AG7</f>
        <v>0.7075655687116595</v>
      </c>
      <c r="J7" s="16">
        <f>RANK(I7,I$7:$I$25)</f>
        <v>7</v>
      </c>
      <c r="K7" s="16">
        <f aca="true" t="shared" si="0" ref="K7:K24">IF(Q7="-",0,RANK(Q7,$Q$7:$Q$25,-1))</f>
        <v>7</v>
      </c>
      <c r="L7" s="16">
        <f>IF(K7&lt;1,0,IF(K7&lt;11,11-K7,1))</f>
        <v>4</v>
      </c>
      <c r="M7" s="20">
        <f aca="true" t="shared" si="1" ref="M7:M24">RANK(G7,$G$7:$G$25)</f>
        <v>3</v>
      </c>
      <c r="N7" s="77">
        <f>P7/(60*60*24)</f>
        <v>0.006789552820627053</v>
      </c>
      <c r="O7" s="41">
        <f>3600/G7</f>
        <v>0.36450713067074375</v>
      </c>
      <c r="P7" s="43">
        <f>3600/(G7/1609.344)</f>
        <v>586.6173637021774</v>
      </c>
      <c r="Q7" s="50">
        <f>IF(F7="PA",J7,"-")</f>
        <v>7</v>
      </c>
      <c r="R7" s="50">
        <f>IF(D7="m",G7,0)</f>
        <v>0</v>
      </c>
      <c r="S7" s="50">
        <f>IF(D7="f",G7,0)</f>
        <v>9876.35</v>
      </c>
      <c r="T7" s="50">
        <f>IF(D7="f",RANK(S7,$S$7:$S$24),RANK(R7,$R$7:$R$24))</f>
        <v>1</v>
      </c>
      <c r="U7">
        <f>IF(D7="m",IF(G7&lt;5000,3,IF(G7&lt;8000,4,IF(G7&lt;10000,5,IF(G7&lt;15000,6,7)))),IF(G7&lt;5000,17,IF(G7&lt;8000,18,IF(G7&lt;10000,19,IF(G7&lt;15000,20,21)))))</f>
        <v>19</v>
      </c>
      <c r="V7" t="str">
        <f>INDEX(Times!$B$2:$AC$2,1,U7)</f>
        <v>W8kmWalk</v>
      </c>
      <c r="W7">
        <f>INDEX(Times!$B$3:$AC$3,1,U7)</f>
        <v>8000</v>
      </c>
      <c r="X7" s="1">
        <f>O7*W7</f>
        <v>2916.05704536595</v>
      </c>
      <c r="Y7">
        <f>INDEX(Times!$B$6:$AC$101,C7-4,U7)</f>
        <v>2042.02</v>
      </c>
      <c r="Z7" s="54">
        <f>Y7/X7</f>
        <v>0.7002675078819444</v>
      </c>
      <c r="AA7">
        <f>G7-W7</f>
        <v>1876.3500000000004</v>
      </c>
      <c r="AB7">
        <f>U7+1</f>
        <v>20</v>
      </c>
      <c r="AC7">
        <f>INDEX(Times!$B$3:$AC$3,1,AB7)</f>
        <v>10000</v>
      </c>
      <c r="AD7">
        <f>O7*AC7</f>
        <v>3645.0713067074375</v>
      </c>
      <c r="AE7">
        <f>INDEX(Times!$B$6:$AC$101,C7-4,AB7)</f>
        <v>2580.88</v>
      </c>
      <c r="AF7" s="54">
        <f>AE7/AD7</f>
        <v>0.7080465052222222</v>
      </c>
      <c r="AG7">
        <f>AC7-W7</f>
        <v>2000</v>
      </c>
    </row>
    <row r="8" spans="1:33" ht="12.75">
      <c r="A8" s="101" t="s">
        <v>291</v>
      </c>
      <c r="B8" s="130" t="s">
        <v>327</v>
      </c>
      <c r="C8">
        <v>44</v>
      </c>
      <c r="D8" s="19" t="s">
        <v>250</v>
      </c>
      <c r="E8" s="46" t="s">
        <v>165</v>
      </c>
      <c r="F8" s="46" t="s">
        <v>114</v>
      </c>
      <c r="G8" s="102">
        <v>9397.68</v>
      </c>
      <c r="H8" s="46" t="str">
        <f aca="true" t="shared" si="2" ref="H8:H24">CONCATENATE(D8,T8)</f>
        <v>F2</v>
      </c>
      <c r="I8" s="47">
        <f aca="true" t="shared" si="3" ref="I8:I24">(Z8*(AG8-AA8)+AF8*AA8)/AG8</f>
        <v>0.6858235229119907</v>
      </c>
      <c r="J8" s="16">
        <f>RANK(I8,I$7:$I$25)</f>
        <v>11</v>
      </c>
      <c r="K8" s="16">
        <f t="shared" si="0"/>
        <v>11</v>
      </c>
      <c r="L8" s="16">
        <f aca="true" t="shared" si="4" ref="L8:L24">IF(K8&lt;1,0,IF(K8&lt;11,11-K8,1))</f>
        <v>1</v>
      </c>
      <c r="M8" s="20">
        <f t="shared" si="1"/>
        <v>5</v>
      </c>
      <c r="N8" s="77">
        <f aca="true" t="shared" si="5" ref="N8:N24">P8/(60*60*24)</f>
        <v>0.007135378093316648</v>
      </c>
      <c r="O8" s="41">
        <f aca="true" t="shared" si="6" ref="O8:O24">3600/G8</f>
        <v>0.3830732691472789</v>
      </c>
      <c r="P8" s="43">
        <f aca="true" t="shared" si="7" ref="P8:P24">3600/(G8/1609.344)</f>
        <v>616.4966672625584</v>
      </c>
      <c r="Q8" s="50">
        <f aca="true" t="shared" si="8" ref="Q8:Q24">IF(F8="PA",J8,"-")</f>
        <v>11</v>
      </c>
      <c r="R8" s="50">
        <f aca="true" t="shared" si="9" ref="R8:R24">IF(D8="m",G8,0)</f>
        <v>0</v>
      </c>
      <c r="S8" s="50">
        <f aca="true" t="shared" si="10" ref="S8:S24">IF(D8="f",G8,0)</f>
        <v>9397.68</v>
      </c>
      <c r="T8" s="50">
        <f aca="true" t="shared" si="11" ref="T8:T24">IF(D8="f",RANK(S8,$S$7:$S$24),RANK(R8,$R$7:$R$24))</f>
        <v>2</v>
      </c>
      <c r="U8">
        <f aca="true" t="shared" si="12" ref="U8:U24">IF(D8="m",IF(G8&lt;5000,3,IF(G8&lt;8000,4,IF(G8&lt;10000,5,IF(G8&lt;15000,6,7)))),IF(G8&lt;5000,17,IF(G8&lt;8000,18,IF(G8&lt;10000,19,IF(G8&lt;15000,20,21)))))</f>
        <v>19</v>
      </c>
      <c r="V8" t="str">
        <f>INDEX(Times!$B$2:$AC$2,1,U8)</f>
        <v>W8kmWalk</v>
      </c>
      <c r="W8">
        <f>INDEX(Times!$B$3:$AC$3,1,U8)</f>
        <v>8000</v>
      </c>
      <c r="X8" s="1">
        <f aca="true" t="shared" si="13" ref="X8:X24">O8*W8</f>
        <v>3064.586153178231</v>
      </c>
      <c r="Y8">
        <f>INDEX(Times!$B$6:$AC$101,C8-4,U8)</f>
        <v>2084.94</v>
      </c>
      <c r="Z8" s="54">
        <f aca="true" t="shared" si="14" ref="Z8:Z24">Y8/X8</f>
        <v>0.6803332965000001</v>
      </c>
      <c r="AA8">
        <f aca="true" t="shared" si="15" ref="AA8:AA24">G8-W8</f>
        <v>1397.6800000000003</v>
      </c>
      <c r="AB8">
        <f aca="true" t="shared" si="16" ref="AB8:AB24">U8+1</f>
        <v>20</v>
      </c>
      <c r="AC8">
        <f>INDEX(Times!$B$3:$AC$3,1,AB8)</f>
        <v>10000</v>
      </c>
      <c r="AD8">
        <f aca="true" t="shared" si="17" ref="AD8:AD24">O8*AC8</f>
        <v>3830.732691472789</v>
      </c>
      <c r="AE8">
        <f>INDEX(Times!$B$6:$AC$101,C8-4,AB8)</f>
        <v>2636.27</v>
      </c>
      <c r="AF8" s="54">
        <f aca="true" t="shared" si="18" ref="AF8:AF24">AE8/AD8</f>
        <v>0.6881894959333333</v>
      </c>
      <c r="AG8">
        <f aca="true" t="shared" si="19" ref="AG8:AG24">AC8-W8</f>
        <v>2000</v>
      </c>
    </row>
    <row r="9" spans="1:33" ht="12.75">
      <c r="A9" s="101" t="s">
        <v>198</v>
      </c>
      <c r="B9" s="101" t="s">
        <v>199</v>
      </c>
      <c r="C9">
        <v>56</v>
      </c>
      <c r="D9" s="19" t="s">
        <v>250</v>
      </c>
      <c r="E9" s="46" t="s">
        <v>166</v>
      </c>
      <c r="F9" s="46" t="s">
        <v>114</v>
      </c>
      <c r="G9" s="102">
        <v>9120.6</v>
      </c>
      <c r="H9" s="46" t="str">
        <f t="shared" si="2"/>
        <v>F3</v>
      </c>
      <c r="I9" s="47">
        <f t="shared" si="3"/>
        <v>0.746193078880425</v>
      </c>
      <c r="J9" s="16">
        <f>RANK(I9,I$7:$I$25)</f>
        <v>6</v>
      </c>
      <c r="K9" s="16">
        <f t="shared" si="0"/>
        <v>6</v>
      </c>
      <c r="L9" s="16">
        <f t="shared" si="4"/>
        <v>5</v>
      </c>
      <c r="M9" s="20">
        <f t="shared" si="1"/>
        <v>7</v>
      </c>
      <c r="N9" s="77">
        <f t="shared" si="5"/>
        <v>0.007352147885007565</v>
      </c>
      <c r="O9" s="41">
        <f t="shared" si="6"/>
        <v>0.3947108742845865</v>
      </c>
      <c r="P9" s="43">
        <f t="shared" si="7"/>
        <v>635.2255772646537</v>
      </c>
      <c r="Q9" s="50">
        <f t="shared" si="8"/>
        <v>6</v>
      </c>
      <c r="R9" s="50">
        <f t="shared" si="9"/>
        <v>0</v>
      </c>
      <c r="S9" s="50">
        <f t="shared" si="10"/>
        <v>9120.6</v>
      </c>
      <c r="T9" s="50">
        <f t="shared" si="11"/>
        <v>3</v>
      </c>
      <c r="U9">
        <f t="shared" si="12"/>
        <v>19</v>
      </c>
      <c r="V9" t="str">
        <f>INDEX(Times!$B$2:$AC$2,1,U9)</f>
        <v>W8kmWalk</v>
      </c>
      <c r="W9">
        <f>INDEX(Times!$B$3:$AC$3,1,U9)</f>
        <v>8000</v>
      </c>
      <c r="X9" s="1">
        <f t="shared" si="13"/>
        <v>3157.686994276692</v>
      </c>
      <c r="Y9">
        <f>INDEX(Times!$B$6:$AC$101,C9-4,U9)</f>
        <v>2337.38</v>
      </c>
      <c r="Z9" s="54">
        <f t="shared" si="14"/>
        <v>0.7402190287500001</v>
      </c>
      <c r="AA9">
        <f t="shared" si="15"/>
        <v>1120.6000000000004</v>
      </c>
      <c r="AB9">
        <f t="shared" si="16"/>
        <v>20</v>
      </c>
      <c r="AC9">
        <f>INDEX(Times!$B$3:$AC$3,1,AB9)</f>
        <v>10000</v>
      </c>
      <c r="AD9">
        <f t="shared" si="17"/>
        <v>3947.108742845865</v>
      </c>
      <c r="AE9">
        <f>INDEX(Times!$B$6:$AC$101,C9-4,AB9)</f>
        <v>2963.81</v>
      </c>
      <c r="AF9" s="54">
        <f t="shared" si="18"/>
        <v>0.7508812635000001</v>
      </c>
      <c r="AG9">
        <f t="shared" si="19"/>
        <v>2000</v>
      </c>
    </row>
    <row r="10" spans="1:33" ht="12.75">
      <c r="A10" s="101" t="s">
        <v>292</v>
      </c>
      <c r="B10" s="101" t="s">
        <v>293</v>
      </c>
      <c r="C10" s="2">
        <v>61</v>
      </c>
      <c r="D10" s="19" t="s">
        <v>250</v>
      </c>
      <c r="E10" s="46" t="s">
        <v>166</v>
      </c>
      <c r="F10" s="46" t="s">
        <v>114</v>
      </c>
      <c r="G10" s="102">
        <v>9097.67</v>
      </c>
      <c r="H10" s="46" t="str">
        <f t="shared" si="2"/>
        <v>F4</v>
      </c>
      <c r="I10" s="47">
        <f t="shared" si="3"/>
        <v>0.7896137538947089</v>
      </c>
      <c r="J10" s="16">
        <f>RANK(I10,I$7:$I$25)</f>
        <v>2</v>
      </c>
      <c r="K10" s="16">
        <f t="shared" si="0"/>
        <v>2</v>
      </c>
      <c r="L10" s="16">
        <f t="shared" si="4"/>
        <v>9</v>
      </c>
      <c r="M10" s="20">
        <f t="shared" si="1"/>
        <v>8</v>
      </c>
      <c r="N10" s="77">
        <f t="shared" si="5"/>
        <v>0.0073706784264542455</v>
      </c>
      <c r="O10" s="41">
        <f t="shared" si="6"/>
        <v>0.3957057136607505</v>
      </c>
      <c r="P10" s="43">
        <f t="shared" si="7"/>
        <v>636.8266160456468</v>
      </c>
      <c r="Q10" s="50">
        <f t="shared" si="8"/>
        <v>2</v>
      </c>
      <c r="R10" s="50">
        <f t="shared" si="9"/>
        <v>0</v>
      </c>
      <c r="S10" s="50">
        <f t="shared" si="10"/>
        <v>9097.67</v>
      </c>
      <c r="T10" s="50">
        <f t="shared" si="11"/>
        <v>4</v>
      </c>
      <c r="U10">
        <f t="shared" si="12"/>
        <v>19</v>
      </c>
      <c r="V10" t="str">
        <f>INDEX(Times!$B$2:$AC$2,1,U10)</f>
        <v>W8kmWalk</v>
      </c>
      <c r="W10">
        <f>INDEX(Times!$B$3:$AC$3,1,U10)</f>
        <v>8000</v>
      </c>
      <c r="X10" s="1">
        <f t="shared" si="13"/>
        <v>3165.645709286004</v>
      </c>
      <c r="Y10">
        <f>INDEX(Times!$B$6:$AC$101,C10-4,U10)</f>
        <v>2478.01</v>
      </c>
      <c r="Z10" s="54">
        <f t="shared" si="14"/>
        <v>0.7827818484965278</v>
      </c>
      <c r="AA10">
        <f t="shared" si="15"/>
        <v>1097.67</v>
      </c>
      <c r="AB10">
        <f t="shared" si="16"/>
        <v>20</v>
      </c>
      <c r="AC10">
        <f>INDEX(Times!$B$3:$AC$3,1,AB10)</f>
        <v>10000</v>
      </c>
      <c r="AD10">
        <f t="shared" si="17"/>
        <v>3957.057136607505</v>
      </c>
      <c r="AE10">
        <f>INDEX(Times!$B$6:$AC$101,C10-4,AB10)</f>
        <v>3146.77</v>
      </c>
      <c r="AF10" s="54">
        <f t="shared" si="18"/>
        <v>0.7952298618305556</v>
      </c>
      <c r="AG10">
        <f t="shared" si="19"/>
        <v>2000</v>
      </c>
    </row>
    <row r="11" spans="1:33" ht="12.75">
      <c r="A11" s="101" t="s">
        <v>85</v>
      </c>
      <c r="B11" s="101" t="s">
        <v>106</v>
      </c>
      <c r="C11" s="2">
        <v>52</v>
      </c>
      <c r="D11" s="19" t="s">
        <v>250</v>
      </c>
      <c r="E11" s="46" t="s">
        <v>166</v>
      </c>
      <c r="F11" s="46" t="s">
        <v>114</v>
      </c>
      <c r="G11" s="102">
        <v>8397.14</v>
      </c>
      <c r="H11" s="46" t="str">
        <f t="shared" si="2"/>
        <v>F5</v>
      </c>
      <c r="I11" s="47">
        <f t="shared" si="3"/>
        <v>0.6552759789162128</v>
      </c>
      <c r="J11" s="16">
        <f>RANK(I11,I$7:$I$25)</f>
        <v>15</v>
      </c>
      <c r="K11" s="16">
        <f t="shared" si="0"/>
        <v>15</v>
      </c>
      <c r="L11" s="16">
        <f t="shared" si="4"/>
        <v>1</v>
      </c>
      <c r="M11" s="20">
        <f t="shared" si="1"/>
        <v>10</v>
      </c>
      <c r="N11" s="77">
        <f t="shared" si="5"/>
        <v>0.007985576041366465</v>
      </c>
      <c r="O11" s="41">
        <f t="shared" si="6"/>
        <v>0.4287173966374266</v>
      </c>
      <c r="P11" s="43">
        <f t="shared" si="7"/>
        <v>689.9537699740627</v>
      </c>
      <c r="Q11" s="50">
        <f t="shared" si="8"/>
        <v>15</v>
      </c>
      <c r="R11" s="50">
        <f t="shared" si="9"/>
        <v>0</v>
      </c>
      <c r="S11" s="50">
        <f t="shared" si="10"/>
        <v>8397.14</v>
      </c>
      <c r="T11" s="50">
        <f t="shared" si="11"/>
        <v>5</v>
      </c>
      <c r="U11">
        <f t="shared" si="12"/>
        <v>19</v>
      </c>
      <c r="V11" t="str">
        <f>INDEX(Times!$B$2:$AC$2,1,U11)</f>
        <v>W8kmWalk</v>
      </c>
      <c r="W11">
        <f>INDEX(Times!$B$3:$AC$3,1,U11)</f>
        <v>8000</v>
      </c>
      <c r="X11" s="1">
        <f t="shared" si="13"/>
        <v>3429.7391730994127</v>
      </c>
      <c r="Y11">
        <f>INDEX(Times!$B$6:$AC$101,C11-4,U11)</f>
        <v>2241.44</v>
      </c>
      <c r="Z11" s="54">
        <f t="shared" si="14"/>
        <v>0.6535307458888888</v>
      </c>
      <c r="AA11">
        <f t="shared" si="15"/>
        <v>397.1399999999994</v>
      </c>
      <c r="AB11">
        <f t="shared" si="16"/>
        <v>20</v>
      </c>
      <c r="AC11">
        <f>INDEX(Times!$B$3:$AC$3,1,AB11)</f>
        <v>10000</v>
      </c>
      <c r="AD11">
        <f t="shared" si="17"/>
        <v>4287.173966374266</v>
      </c>
      <c r="AE11">
        <f>INDEX(Times!$B$6:$AC$101,C11-4,AB11)</f>
        <v>2839.48</v>
      </c>
      <c r="AF11" s="54">
        <f t="shared" si="18"/>
        <v>0.6623197524222222</v>
      </c>
      <c r="AG11">
        <f t="shared" si="19"/>
        <v>2000</v>
      </c>
    </row>
    <row r="12" spans="1:33" ht="12.75">
      <c r="A12" s="101" t="s">
        <v>238</v>
      </c>
      <c r="B12" s="101" t="s">
        <v>239</v>
      </c>
      <c r="C12" s="2">
        <v>71</v>
      </c>
      <c r="D12" s="19" t="s">
        <v>250</v>
      </c>
      <c r="E12" s="46" t="s">
        <v>253</v>
      </c>
      <c r="F12" s="46" t="s">
        <v>114</v>
      </c>
      <c r="G12" s="102">
        <v>8137.42</v>
      </c>
      <c r="H12" s="46" t="str">
        <f t="shared" si="2"/>
        <v>F6</v>
      </c>
      <c r="I12" s="47">
        <f t="shared" si="3"/>
        <v>0.8080080355095556</v>
      </c>
      <c r="J12" s="16">
        <f>RANK(I12,I$7:$I$25)</f>
        <v>1</v>
      </c>
      <c r="K12" s="16">
        <f t="shared" si="0"/>
        <v>1</v>
      </c>
      <c r="L12" s="16">
        <f t="shared" si="4"/>
        <v>10</v>
      </c>
      <c r="M12" s="20">
        <f t="shared" si="1"/>
        <v>11</v>
      </c>
      <c r="N12" s="77">
        <f t="shared" si="5"/>
        <v>0.008240449675695736</v>
      </c>
      <c r="O12" s="41">
        <f t="shared" si="6"/>
        <v>0.44240066261788136</v>
      </c>
      <c r="P12" s="43">
        <f t="shared" si="7"/>
        <v>711.9748519801116</v>
      </c>
      <c r="Q12" s="50">
        <f t="shared" si="8"/>
        <v>1</v>
      </c>
      <c r="R12" s="50">
        <f t="shared" si="9"/>
        <v>0</v>
      </c>
      <c r="S12" s="50">
        <f t="shared" si="10"/>
        <v>8137.42</v>
      </c>
      <c r="T12" s="50">
        <f t="shared" si="11"/>
        <v>6</v>
      </c>
      <c r="U12">
        <f t="shared" si="12"/>
        <v>19</v>
      </c>
      <c r="V12" t="str">
        <f>INDEX(Times!$B$2:$AC$2,1,U12)</f>
        <v>W8kmWalk</v>
      </c>
      <c r="W12">
        <f>INDEX(Times!$B$3:$AC$3,1,U12)</f>
        <v>8000</v>
      </c>
      <c r="X12" s="1">
        <f t="shared" si="13"/>
        <v>3539.205300943051</v>
      </c>
      <c r="Y12">
        <f>INDEX(Times!$B$6:$AC$101,C12-4,U12)</f>
        <v>2855.88</v>
      </c>
      <c r="Z12" s="54">
        <f t="shared" si="14"/>
        <v>0.80692691075</v>
      </c>
      <c r="AA12">
        <f t="shared" si="15"/>
        <v>137.42000000000007</v>
      </c>
      <c r="AB12">
        <f t="shared" si="16"/>
        <v>20</v>
      </c>
      <c r="AC12">
        <f>INDEX(Times!$B$3:$AC$3,1,AB12)</f>
        <v>10000</v>
      </c>
      <c r="AD12">
        <f t="shared" si="17"/>
        <v>4424.006626178813</v>
      </c>
      <c r="AE12">
        <f>INDEX(Times!$B$6:$AC$101,C12-4,AB12)</f>
        <v>3639.46</v>
      </c>
      <c r="AF12" s="54">
        <f t="shared" si="18"/>
        <v>0.8226615164777779</v>
      </c>
      <c r="AG12">
        <f t="shared" si="19"/>
        <v>2000</v>
      </c>
    </row>
    <row r="13" spans="1:33" ht="12.75">
      <c r="A13" s="101" t="s">
        <v>294</v>
      </c>
      <c r="B13" s="101" t="s">
        <v>295</v>
      </c>
      <c r="C13" s="10">
        <v>62</v>
      </c>
      <c r="D13" s="19" t="s">
        <v>250</v>
      </c>
      <c r="E13" s="46" t="s">
        <v>253</v>
      </c>
      <c r="F13" s="46" t="s">
        <v>114</v>
      </c>
      <c r="G13" s="103">
        <v>8078.57</v>
      </c>
      <c r="H13" s="46" t="str">
        <f t="shared" si="2"/>
        <v>F7</v>
      </c>
      <c r="I13" s="47">
        <f t="shared" si="3"/>
        <v>0.7043390133356306</v>
      </c>
      <c r="J13" s="16">
        <f>RANK(I13,I$7:$I$25)</f>
        <v>8</v>
      </c>
      <c r="K13" s="16">
        <f t="shared" si="0"/>
        <v>8</v>
      </c>
      <c r="L13" s="16">
        <f t="shared" si="4"/>
        <v>3</v>
      </c>
      <c r="M13" s="20">
        <f t="shared" si="1"/>
        <v>12</v>
      </c>
      <c r="N13" s="77">
        <f t="shared" si="5"/>
        <v>0.008300478921393267</v>
      </c>
      <c r="O13" s="41">
        <f t="shared" si="6"/>
        <v>0.4456234209767323</v>
      </c>
      <c r="P13" s="43">
        <f t="shared" si="7"/>
        <v>717.1613788083782</v>
      </c>
      <c r="Q13" s="50">
        <f t="shared" si="8"/>
        <v>8</v>
      </c>
      <c r="R13" s="50">
        <f t="shared" si="9"/>
        <v>0</v>
      </c>
      <c r="S13" s="50">
        <f t="shared" si="10"/>
        <v>8078.57</v>
      </c>
      <c r="T13" s="50">
        <f t="shared" si="11"/>
        <v>7</v>
      </c>
      <c r="U13">
        <f t="shared" si="12"/>
        <v>19</v>
      </c>
      <c r="V13" t="str">
        <f>INDEX(Times!$B$2:$AC$2,1,U13)</f>
        <v>W8kmWalk</v>
      </c>
      <c r="W13">
        <f>INDEX(Times!$B$3:$AC$3,1,U13)</f>
        <v>8000</v>
      </c>
      <c r="X13" s="1">
        <f t="shared" si="13"/>
        <v>3564.9873678138583</v>
      </c>
      <c r="Y13">
        <f>INDEX(Times!$B$6:$AC$101,C13-4,U13)</f>
        <v>2509.36</v>
      </c>
      <c r="Z13" s="54">
        <f t="shared" si="14"/>
        <v>0.7038902921944444</v>
      </c>
      <c r="AA13">
        <f t="shared" si="15"/>
        <v>78.56999999999971</v>
      </c>
      <c r="AB13">
        <f t="shared" si="16"/>
        <v>20</v>
      </c>
      <c r="AC13">
        <f>INDEX(Times!$B$3:$AC$3,1,AB13)</f>
        <v>10000</v>
      </c>
      <c r="AD13">
        <f t="shared" si="17"/>
        <v>4456.234209767323</v>
      </c>
      <c r="AE13">
        <f>INDEX(Times!$B$6:$AC$101,C13-4,AB13)</f>
        <v>3187.6</v>
      </c>
      <c r="AF13" s="54">
        <f t="shared" si="18"/>
        <v>0.7153124925555555</v>
      </c>
      <c r="AG13">
        <f t="shared" si="19"/>
        <v>2000</v>
      </c>
    </row>
    <row r="14" spans="1:33" ht="12.75">
      <c r="A14" s="38" t="s">
        <v>236</v>
      </c>
      <c r="B14" s="38" t="s">
        <v>240</v>
      </c>
      <c r="C14" s="50">
        <v>58</v>
      </c>
      <c r="D14" s="19" t="s">
        <v>250</v>
      </c>
      <c r="E14" s="46" t="s">
        <v>253</v>
      </c>
      <c r="F14" s="46" t="s">
        <v>114</v>
      </c>
      <c r="G14" s="102">
        <v>8007.24</v>
      </c>
      <c r="H14" s="46" t="str">
        <f t="shared" si="2"/>
        <v>F8</v>
      </c>
      <c r="I14" s="47">
        <f t="shared" si="3"/>
        <v>0.6646814441862747</v>
      </c>
      <c r="J14" s="16">
        <f>RANK(I14,I$7:$I$25)</f>
        <v>13</v>
      </c>
      <c r="K14" s="16">
        <f t="shared" si="0"/>
        <v>13</v>
      </c>
      <c r="L14" s="16">
        <f t="shared" si="4"/>
        <v>1</v>
      </c>
      <c r="M14" s="20">
        <f t="shared" si="1"/>
        <v>13</v>
      </c>
      <c r="N14" s="77">
        <f t="shared" si="5"/>
        <v>0.008374421148860282</v>
      </c>
      <c r="O14" s="41">
        <f t="shared" si="6"/>
        <v>0.4495931182280037</v>
      </c>
      <c r="P14" s="43">
        <f t="shared" si="7"/>
        <v>723.5499872615284</v>
      </c>
      <c r="Q14" s="50">
        <f t="shared" si="8"/>
        <v>13</v>
      </c>
      <c r="R14" s="50">
        <f t="shared" si="9"/>
        <v>0</v>
      </c>
      <c r="S14" s="50">
        <f t="shared" si="10"/>
        <v>8007.24</v>
      </c>
      <c r="T14" s="50">
        <f t="shared" si="11"/>
        <v>8</v>
      </c>
      <c r="U14">
        <f t="shared" si="12"/>
        <v>19</v>
      </c>
      <c r="V14" t="str">
        <f>INDEX(Times!$B$2:$AC$2,1,U14)</f>
        <v>W8kmWalk</v>
      </c>
      <c r="W14">
        <f>INDEX(Times!$B$3:$AC$3,1,U14)</f>
        <v>8000</v>
      </c>
      <c r="X14" s="1">
        <f t="shared" si="13"/>
        <v>3596.7449458240294</v>
      </c>
      <c r="Y14">
        <f>INDEX(Times!$B$6:$AC$101,C14-4,U14)</f>
        <v>2390.56</v>
      </c>
      <c r="Z14" s="54">
        <f t="shared" si="14"/>
        <v>0.6646454046666667</v>
      </c>
      <c r="AA14">
        <f t="shared" si="15"/>
        <v>7.239999999999782</v>
      </c>
      <c r="AB14">
        <f t="shared" si="16"/>
        <v>20</v>
      </c>
      <c r="AC14">
        <f>INDEX(Times!$B$3:$AC$3,1,AB14)</f>
        <v>10000</v>
      </c>
      <c r="AD14">
        <f t="shared" si="17"/>
        <v>4495.931182280036</v>
      </c>
      <c r="AE14">
        <f>INDEX(Times!$B$6:$AC$101,C14-4,AB14)</f>
        <v>3032.96</v>
      </c>
      <c r="AF14" s="54">
        <f t="shared" si="18"/>
        <v>0.6746010730666667</v>
      </c>
      <c r="AG14">
        <f t="shared" si="19"/>
        <v>2000</v>
      </c>
    </row>
    <row r="15" spans="1:33" ht="12.75">
      <c r="A15" s="101" t="s">
        <v>204</v>
      </c>
      <c r="B15" s="101" t="s">
        <v>205</v>
      </c>
      <c r="C15" s="50">
        <v>70</v>
      </c>
      <c r="D15" s="19" t="s">
        <v>250</v>
      </c>
      <c r="E15" s="46" t="s">
        <v>253</v>
      </c>
      <c r="F15" s="46" t="s">
        <v>114</v>
      </c>
      <c r="G15" s="102">
        <v>7732.56</v>
      </c>
      <c r="H15" s="46" t="str">
        <f t="shared" si="2"/>
        <v>F9</v>
      </c>
      <c r="I15" s="47">
        <f t="shared" si="3"/>
        <v>0.7521709236533213</v>
      </c>
      <c r="J15" s="16">
        <f>RANK(I15,I$7:$I$25)</f>
        <v>4</v>
      </c>
      <c r="K15" s="16">
        <f t="shared" si="0"/>
        <v>4</v>
      </c>
      <c r="L15" s="16">
        <f t="shared" si="4"/>
        <v>7</v>
      </c>
      <c r="M15" s="20">
        <f t="shared" si="1"/>
        <v>14</v>
      </c>
      <c r="N15" s="77">
        <f t="shared" si="5"/>
        <v>0.008671901672925914</v>
      </c>
      <c r="O15" s="41">
        <f t="shared" si="6"/>
        <v>0.46556379775908624</v>
      </c>
      <c r="P15" s="43">
        <f t="shared" si="7"/>
        <v>749.252304540799</v>
      </c>
      <c r="Q15" s="50">
        <f t="shared" si="8"/>
        <v>4</v>
      </c>
      <c r="R15" s="50">
        <f t="shared" si="9"/>
        <v>0</v>
      </c>
      <c r="S15" s="50">
        <f t="shared" si="10"/>
        <v>7732.56</v>
      </c>
      <c r="T15" s="50">
        <f t="shared" si="11"/>
        <v>9</v>
      </c>
      <c r="U15">
        <f t="shared" si="12"/>
        <v>18</v>
      </c>
      <c r="V15" t="str">
        <f>INDEX(Times!$B$2:$AC$2,1,U15)</f>
        <v>W5kmWalk</v>
      </c>
      <c r="W15">
        <f>INDEX(Times!$B$3:$AC$3,1,U15)</f>
        <v>5000</v>
      </c>
      <c r="X15" s="1">
        <f t="shared" si="13"/>
        <v>2327.8189887954313</v>
      </c>
      <c r="Y15">
        <f>INDEX(Times!$B$6:$AC$101,C15-4,U15)</f>
        <v>1690.88</v>
      </c>
      <c r="Z15" s="54">
        <f t="shared" si="14"/>
        <v>0.7263795029333333</v>
      </c>
      <c r="AA15">
        <f t="shared" si="15"/>
        <v>2732.5600000000004</v>
      </c>
      <c r="AB15">
        <f t="shared" si="16"/>
        <v>19</v>
      </c>
      <c r="AC15">
        <f>INDEX(Times!$B$3:$AC$3,1,AB15)</f>
        <v>8000</v>
      </c>
      <c r="AD15">
        <f t="shared" si="17"/>
        <v>3724.51038207269</v>
      </c>
      <c r="AE15">
        <f>INDEX(Times!$B$6:$AC$101,C15-4,AB15)</f>
        <v>2810.87</v>
      </c>
      <c r="AF15" s="54">
        <f t="shared" si="18"/>
        <v>0.7546951710833333</v>
      </c>
      <c r="AG15">
        <f t="shared" si="19"/>
        <v>3000</v>
      </c>
    </row>
    <row r="16" spans="1:33" ht="12.75">
      <c r="A16" s="101" t="s">
        <v>200</v>
      </c>
      <c r="B16" s="101" t="s">
        <v>254</v>
      </c>
      <c r="C16" s="50">
        <v>62</v>
      </c>
      <c r="D16" s="90" t="s">
        <v>250</v>
      </c>
      <c r="E16" s="46" t="s">
        <v>253</v>
      </c>
      <c r="F16" s="46" t="s">
        <v>114</v>
      </c>
      <c r="G16" s="104">
        <v>7701.95</v>
      </c>
      <c r="H16" s="46" t="str">
        <f t="shared" si="2"/>
        <v>F10</v>
      </c>
      <c r="I16" s="47">
        <f t="shared" si="3"/>
        <v>0.6689471074750585</v>
      </c>
      <c r="J16" s="16">
        <f>RANK(I16,I$7:$I$25)</f>
        <v>12</v>
      </c>
      <c r="K16" s="16">
        <f t="shared" si="0"/>
        <v>12</v>
      </c>
      <c r="L16" s="16">
        <f t="shared" si="4"/>
        <v>1</v>
      </c>
      <c r="M16" s="20">
        <f t="shared" si="1"/>
        <v>15</v>
      </c>
      <c r="N16" s="77">
        <f t="shared" si="5"/>
        <v>0.008706366569505125</v>
      </c>
      <c r="O16" s="41">
        <f t="shared" si="6"/>
        <v>0.4674140964301248</v>
      </c>
      <c r="P16" s="43">
        <f t="shared" si="7"/>
        <v>752.2300716052429</v>
      </c>
      <c r="Q16" s="50">
        <f t="shared" si="8"/>
        <v>12</v>
      </c>
      <c r="R16" s="50">
        <f t="shared" si="9"/>
        <v>0</v>
      </c>
      <c r="S16" s="50">
        <f t="shared" si="10"/>
        <v>7701.95</v>
      </c>
      <c r="T16" s="50">
        <f t="shared" si="11"/>
        <v>10</v>
      </c>
      <c r="U16">
        <f t="shared" si="12"/>
        <v>18</v>
      </c>
      <c r="V16" t="str">
        <f>INDEX(Times!$B$2:$AC$2,1,U16)</f>
        <v>W5kmWalk</v>
      </c>
      <c r="W16">
        <f>INDEX(Times!$B$3:$AC$3,1,U16)</f>
        <v>5000</v>
      </c>
      <c r="X16" s="1">
        <f t="shared" si="13"/>
        <v>2337.0704821506242</v>
      </c>
      <c r="Y16">
        <f>INDEX(Times!$B$6:$AC$101,C16-4,U16)</f>
        <v>1518.29</v>
      </c>
      <c r="Z16" s="54">
        <f t="shared" si="14"/>
        <v>0.6496552036388888</v>
      </c>
      <c r="AA16">
        <f t="shared" si="15"/>
        <v>2701.95</v>
      </c>
      <c r="AB16">
        <f t="shared" si="16"/>
        <v>19</v>
      </c>
      <c r="AC16">
        <f>INDEX(Times!$B$3:$AC$3,1,AB16)</f>
        <v>8000</v>
      </c>
      <c r="AD16">
        <f t="shared" si="17"/>
        <v>3739.3127714409984</v>
      </c>
      <c r="AE16">
        <f>INDEX(Times!$B$6:$AC$101,C16-4,AB16)</f>
        <v>2509.36</v>
      </c>
      <c r="AF16" s="54">
        <f t="shared" si="18"/>
        <v>0.6710751823611112</v>
      </c>
      <c r="AG16">
        <f t="shared" si="19"/>
        <v>3000</v>
      </c>
    </row>
    <row r="17" spans="1:33" ht="12.75">
      <c r="A17" s="101" t="s">
        <v>206</v>
      </c>
      <c r="B17" s="101" t="s">
        <v>207</v>
      </c>
      <c r="C17" s="2">
        <v>44</v>
      </c>
      <c r="D17" s="19" t="s">
        <v>250</v>
      </c>
      <c r="E17" s="46" t="s">
        <v>166</v>
      </c>
      <c r="F17" s="46" t="s">
        <v>114</v>
      </c>
      <c r="G17" s="102">
        <v>7313.88</v>
      </c>
      <c r="H17" s="46" t="str">
        <f t="shared" si="2"/>
        <v>F11</v>
      </c>
      <c r="I17" s="47">
        <f t="shared" si="3"/>
        <v>0.5266757460137336</v>
      </c>
      <c r="J17" s="16">
        <f>RANK(I17,I$7:$I$25)</f>
        <v>18</v>
      </c>
      <c r="K17" s="16">
        <f t="shared" si="0"/>
        <v>18</v>
      </c>
      <c r="L17" s="16">
        <f t="shared" si="4"/>
        <v>1</v>
      </c>
      <c r="M17" s="20">
        <f t="shared" si="1"/>
        <v>17</v>
      </c>
      <c r="N17" s="77">
        <f t="shared" si="5"/>
        <v>0.009168321055308537</v>
      </c>
      <c r="O17" s="41">
        <f t="shared" si="6"/>
        <v>0.49221480253982836</v>
      </c>
      <c r="P17" s="43">
        <f t="shared" si="7"/>
        <v>792.1429391786576</v>
      </c>
      <c r="Q17" s="50">
        <f t="shared" si="8"/>
        <v>18</v>
      </c>
      <c r="R17" s="50">
        <f t="shared" si="9"/>
        <v>0</v>
      </c>
      <c r="S17" s="50">
        <f t="shared" si="10"/>
        <v>7313.88</v>
      </c>
      <c r="T17" s="50">
        <f t="shared" si="11"/>
        <v>11</v>
      </c>
      <c r="U17">
        <f t="shared" si="12"/>
        <v>18</v>
      </c>
      <c r="V17" t="str">
        <f>INDEX(Times!$B$2:$AC$2,1,U17)</f>
        <v>W5kmWalk</v>
      </c>
      <c r="W17">
        <f>INDEX(Times!$B$3:$AC$3,1,U17)</f>
        <v>5000</v>
      </c>
      <c r="X17" s="1">
        <f t="shared" si="13"/>
        <v>2461.074012699142</v>
      </c>
      <c r="Y17">
        <f>INDEX(Times!$B$6:$AC$101,C17-4,U17)</f>
        <v>1272.92</v>
      </c>
      <c r="Z17" s="54">
        <f t="shared" si="14"/>
        <v>0.5172213405333334</v>
      </c>
      <c r="AA17">
        <f t="shared" si="15"/>
        <v>2313.88</v>
      </c>
      <c r="AB17">
        <f t="shared" si="16"/>
        <v>19</v>
      </c>
      <c r="AC17">
        <f>INDEX(Times!$B$3:$AC$3,1,AB17)</f>
        <v>8000</v>
      </c>
      <c r="AD17">
        <f t="shared" si="17"/>
        <v>3937.718420318627</v>
      </c>
      <c r="AE17">
        <f>INDEX(Times!$B$6:$AC$101,C17-4,AB17)</f>
        <v>2084.94</v>
      </c>
      <c r="AF17" s="54">
        <f t="shared" si="18"/>
        <v>0.5294792002500001</v>
      </c>
      <c r="AG17">
        <f t="shared" si="19"/>
        <v>3000</v>
      </c>
    </row>
    <row r="18" spans="1:33" ht="12.75">
      <c r="A18" s="101" t="s">
        <v>208</v>
      </c>
      <c r="B18" s="101" t="s">
        <v>209</v>
      </c>
      <c r="C18" s="50">
        <v>73</v>
      </c>
      <c r="D18" s="90" t="s">
        <v>250</v>
      </c>
      <c r="E18" s="46" t="s">
        <v>253</v>
      </c>
      <c r="F18" s="46" t="s">
        <v>114</v>
      </c>
      <c r="G18" s="104">
        <v>6563.87</v>
      </c>
      <c r="H18" s="46" t="str">
        <f t="shared" si="2"/>
        <v>F12</v>
      </c>
      <c r="I18" s="47">
        <f t="shared" si="3"/>
        <v>0.6599641263826865</v>
      </c>
      <c r="J18" s="16">
        <f>RANK(I18,I$7:$I$25)</f>
        <v>14</v>
      </c>
      <c r="K18" s="16">
        <f t="shared" si="0"/>
        <v>14</v>
      </c>
      <c r="L18" s="16">
        <f t="shared" si="4"/>
        <v>1</v>
      </c>
      <c r="M18" s="20">
        <f t="shared" si="1"/>
        <v>18</v>
      </c>
      <c r="N18" s="77">
        <f t="shared" si="5"/>
        <v>0.010215924447010681</v>
      </c>
      <c r="O18" s="41">
        <f t="shared" si="6"/>
        <v>0.5484569316576958</v>
      </c>
      <c r="P18" s="43">
        <f t="shared" si="7"/>
        <v>882.6558722217229</v>
      </c>
      <c r="Q18" s="50">
        <f t="shared" si="8"/>
        <v>14</v>
      </c>
      <c r="R18" s="50">
        <f t="shared" si="9"/>
        <v>0</v>
      </c>
      <c r="S18" s="50">
        <f t="shared" si="10"/>
        <v>6563.87</v>
      </c>
      <c r="T18" s="50">
        <f t="shared" si="11"/>
        <v>12</v>
      </c>
      <c r="U18">
        <f t="shared" si="12"/>
        <v>18</v>
      </c>
      <c r="V18" t="str">
        <f>INDEX(Times!$B$2:$AC$2,1,U18)</f>
        <v>W5kmWalk</v>
      </c>
      <c r="W18">
        <f>INDEX(Times!$B$3:$AC$3,1,U18)</f>
        <v>5000</v>
      </c>
      <c r="X18" s="1">
        <f t="shared" si="13"/>
        <v>2742.284658288479</v>
      </c>
      <c r="Y18">
        <f>INDEX(Times!$B$6:$AC$101,C18-4,U18)</f>
        <v>1771.38</v>
      </c>
      <c r="Z18" s="54">
        <f t="shared" si="14"/>
        <v>0.6459504467000001</v>
      </c>
      <c r="AA18">
        <f t="shared" si="15"/>
        <v>1563.87</v>
      </c>
      <c r="AB18">
        <f t="shared" si="16"/>
        <v>19</v>
      </c>
      <c r="AC18">
        <f>INDEX(Times!$B$3:$AC$3,1,AB18)</f>
        <v>8000</v>
      </c>
      <c r="AD18">
        <f t="shared" si="17"/>
        <v>4387.655453261566</v>
      </c>
      <c r="AE18">
        <f>INDEX(Times!$B$6:$AC$101,C18-4,AB18)</f>
        <v>2952.16</v>
      </c>
      <c r="AF18" s="54">
        <f t="shared" si="18"/>
        <v>0.6728331409444445</v>
      </c>
      <c r="AG18">
        <f t="shared" si="19"/>
        <v>3000</v>
      </c>
    </row>
    <row r="19" spans="1:33" ht="12.75">
      <c r="A19" s="2" t="s">
        <v>202</v>
      </c>
      <c r="B19" s="2" t="s">
        <v>203</v>
      </c>
      <c r="C19" s="50">
        <v>55</v>
      </c>
      <c r="D19" s="90" t="s">
        <v>255</v>
      </c>
      <c r="E19" s="46" t="s">
        <v>253</v>
      </c>
      <c r="F19" s="46" t="s">
        <v>114</v>
      </c>
      <c r="G19" s="104">
        <v>10204.16</v>
      </c>
      <c r="H19" s="46" t="str">
        <f t="shared" si="2"/>
        <v>M1</v>
      </c>
      <c r="I19" s="47">
        <f t="shared" si="3"/>
        <v>0.748585421351898</v>
      </c>
      <c r="J19" s="16">
        <f>RANK(I19,I$7:$I$25)</f>
        <v>5</v>
      </c>
      <c r="K19" s="16">
        <f t="shared" si="0"/>
        <v>5</v>
      </c>
      <c r="L19" s="16">
        <f t="shared" si="4"/>
        <v>6</v>
      </c>
      <c r="M19" s="20">
        <f t="shared" si="1"/>
        <v>1</v>
      </c>
      <c r="N19" s="77">
        <f t="shared" si="5"/>
        <v>0.00657143753135976</v>
      </c>
      <c r="O19" s="41">
        <f t="shared" si="6"/>
        <v>0.35279729051680886</v>
      </c>
      <c r="P19" s="43">
        <f t="shared" si="7"/>
        <v>567.7722027094833</v>
      </c>
      <c r="Q19" s="50">
        <f t="shared" si="8"/>
        <v>5</v>
      </c>
      <c r="R19" s="50">
        <f t="shared" si="9"/>
        <v>10204.16</v>
      </c>
      <c r="S19" s="50">
        <f t="shared" si="10"/>
        <v>0</v>
      </c>
      <c r="T19" s="50">
        <f t="shared" si="11"/>
        <v>1</v>
      </c>
      <c r="U19">
        <f t="shared" si="12"/>
        <v>6</v>
      </c>
      <c r="V19" t="str">
        <f>INDEX(Times!$B$2:$AC$2,1,U19)</f>
        <v>M10kmWalk</v>
      </c>
      <c r="W19">
        <f>INDEX(Times!$B$3:$AC$3,1,U19)</f>
        <v>10000</v>
      </c>
      <c r="X19" s="1">
        <f t="shared" si="13"/>
        <v>3527.972905168089</v>
      </c>
      <c r="Y19">
        <f>INDEX(Times!$B$6:$AC$101,C19-4,U19)</f>
        <v>2639.3</v>
      </c>
      <c r="Z19" s="54">
        <f t="shared" si="14"/>
        <v>0.7481066524444444</v>
      </c>
      <c r="AA19">
        <f t="shared" si="15"/>
        <v>204.15999999999985</v>
      </c>
      <c r="AB19">
        <f t="shared" si="16"/>
        <v>7</v>
      </c>
      <c r="AC19">
        <f>INDEX(Times!$B$3:$AC$3,1,AB19)</f>
        <v>15000</v>
      </c>
      <c r="AD19">
        <f t="shared" si="17"/>
        <v>5291.959357752133</v>
      </c>
      <c r="AE19">
        <f>INDEX(Times!$B$6:$AC$101,C19-4,AB19)</f>
        <v>4021</v>
      </c>
      <c r="AF19" s="54">
        <f t="shared" si="18"/>
        <v>0.7598319881481481</v>
      </c>
      <c r="AG19">
        <f t="shared" si="19"/>
        <v>5000</v>
      </c>
    </row>
    <row r="20" spans="1:33" ht="12.75">
      <c r="A20" s="2" t="s">
        <v>84</v>
      </c>
      <c r="B20" s="2" t="s">
        <v>105</v>
      </c>
      <c r="C20" s="50">
        <v>29</v>
      </c>
      <c r="D20" s="90" t="s">
        <v>255</v>
      </c>
      <c r="E20" s="46" t="s">
        <v>113</v>
      </c>
      <c r="F20" s="46" t="s">
        <v>114</v>
      </c>
      <c r="G20" s="104">
        <v>10111.87</v>
      </c>
      <c r="H20" s="46" t="str">
        <f t="shared" si="2"/>
        <v>M2</v>
      </c>
      <c r="I20" s="47">
        <f t="shared" si="3"/>
        <v>0.6272241499624903</v>
      </c>
      <c r="J20" s="16">
        <f>RANK(I20,I$7:$I$25)</f>
        <v>16</v>
      </c>
      <c r="K20" s="16">
        <f t="shared" si="0"/>
        <v>16</v>
      </c>
      <c r="L20" s="16">
        <f t="shared" si="4"/>
        <v>1</v>
      </c>
      <c r="M20" s="20">
        <f t="shared" si="1"/>
        <v>2</v>
      </c>
      <c r="N20" s="77">
        <f t="shared" si="5"/>
        <v>0.006631414367471101</v>
      </c>
      <c r="O20" s="41">
        <f t="shared" si="6"/>
        <v>0.3560172351899302</v>
      </c>
      <c r="P20" s="43">
        <f t="shared" si="7"/>
        <v>572.9542013495031</v>
      </c>
      <c r="Q20" s="50">
        <f t="shared" si="8"/>
        <v>16</v>
      </c>
      <c r="R20" s="50">
        <f t="shared" si="9"/>
        <v>10111.87</v>
      </c>
      <c r="S20" s="50">
        <f t="shared" si="10"/>
        <v>0</v>
      </c>
      <c r="T20" s="50">
        <f t="shared" si="11"/>
        <v>2</v>
      </c>
      <c r="U20">
        <f t="shared" si="12"/>
        <v>6</v>
      </c>
      <c r="V20" t="str">
        <f>INDEX(Times!$B$2:$AC$2,1,U20)</f>
        <v>M10kmWalk</v>
      </c>
      <c r="W20">
        <f>INDEX(Times!$B$3:$AC$3,1,U20)</f>
        <v>10000</v>
      </c>
      <c r="X20" s="1">
        <f t="shared" si="13"/>
        <v>3560.172351899302</v>
      </c>
      <c r="Y20">
        <f>INDEX(Times!$B$6:$AC$101,C20-4,U20)</f>
        <v>2231.89</v>
      </c>
      <c r="Z20" s="54">
        <f t="shared" si="14"/>
        <v>0.6269050426194445</v>
      </c>
      <c r="AA20">
        <f t="shared" si="15"/>
        <v>111.8700000000008</v>
      </c>
      <c r="AB20">
        <f t="shared" si="16"/>
        <v>7</v>
      </c>
      <c r="AC20">
        <f>INDEX(Times!$B$3:$AC$3,1,AB20)</f>
        <v>15000</v>
      </c>
      <c r="AD20">
        <f t="shared" si="17"/>
        <v>5340.258527848953</v>
      </c>
      <c r="AE20">
        <f>INDEX(Times!$B$6:$AC$101,C20-4,AB20)</f>
        <v>3424</v>
      </c>
      <c r="AF20" s="54">
        <f t="shared" si="18"/>
        <v>0.6411674607407408</v>
      </c>
      <c r="AG20">
        <f t="shared" si="19"/>
        <v>5000</v>
      </c>
    </row>
    <row r="21" spans="1:33" ht="12.75">
      <c r="A21" s="14" t="s">
        <v>296</v>
      </c>
      <c r="B21" s="14" t="s">
        <v>164</v>
      </c>
      <c r="C21" s="50">
        <v>55</v>
      </c>
      <c r="D21" s="90" t="s">
        <v>255</v>
      </c>
      <c r="E21" s="46" t="s">
        <v>166</v>
      </c>
      <c r="F21" s="46" t="s">
        <v>114</v>
      </c>
      <c r="G21" s="104">
        <v>9454.68</v>
      </c>
      <c r="H21" s="46" t="str">
        <f t="shared" si="2"/>
        <v>M3</v>
      </c>
      <c r="I21" s="47">
        <f t="shared" si="3"/>
        <v>0.69172360464921</v>
      </c>
      <c r="J21" s="16">
        <f>RANK(I21,I$7:$I$25)</f>
        <v>10</v>
      </c>
      <c r="K21" s="16">
        <f t="shared" si="0"/>
        <v>10</v>
      </c>
      <c r="L21" s="16">
        <f t="shared" si="4"/>
        <v>1</v>
      </c>
      <c r="M21" s="20">
        <f t="shared" si="1"/>
        <v>4</v>
      </c>
      <c r="N21" s="77">
        <f t="shared" si="5"/>
        <v>0.007092360608714414</v>
      </c>
      <c r="O21" s="41">
        <f t="shared" si="6"/>
        <v>0.38076381220728783</v>
      </c>
      <c r="P21" s="43">
        <f t="shared" si="7"/>
        <v>612.7799565929254</v>
      </c>
      <c r="Q21" s="50">
        <f t="shared" si="8"/>
        <v>10</v>
      </c>
      <c r="R21" s="50">
        <f t="shared" si="9"/>
        <v>9454.68</v>
      </c>
      <c r="S21" s="50">
        <f t="shared" si="10"/>
        <v>0</v>
      </c>
      <c r="T21" s="50">
        <f t="shared" si="11"/>
        <v>3</v>
      </c>
      <c r="U21">
        <f t="shared" si="12"/>
        <v>5</v>
      </c>
      <c r="V21" t="str">
        <f>INDEX(Times!$B$2:$AC$2,1,U21)</f>
        <v>M8kmWalk</v>
      </c>
      <c r="W21">
        <f>INDEX(Times!$B$3:$AC$3,1,U21)</f>
        <v>8000</v>
      </c>
      <c r="X21" s="1">
        <f t="shared" si="13"/>
        <v>3046.110497658303</v>
      </c>
      <c r="Y21">
        <f>INDEX(Times!$B$6:$AC$101,C21-4,U21)</f>
        <v>2095.4</v>
      </c>
      <c r="Z21" s="54">
        <f t="shared" si="14"/>
        <v>0.6878936274999999</v>
      </c>
      <c r="AA21">
        <f t="shared" si="15"/>
        <v>1454.6800000000003</v>
      </c>
      <c r="AB21">
        <f t="shared" si="16"/>
        <v>6</v>
      </c>
      <c r="AC21">
        <f>INDEX(Times!$B$3:$AC$3,1,AB21)</f>
        <v>10000</v>
      </c>
      <c r="AD21">
        <f t="shared" si="17"/>
        <v>3807.638122072878</v>
      </c>
      <c r="AE21">
        <f>INDEX(Times!$B$6:$AC$101,C21-4,AB21)</f>
        <v>2639.3</v>
      </c>
      <c r="AF21" s="54">
        <f t="shared" si="18"/>
        <v>0.693159359</v>
      </c>
      <c r="AG21">
        <f t="shared" si="19"/>
        <v>2000</v>
      </c>
    </row>
    <row r="22" spans="1:33" ht="12.75">
      <c r="A22" s="2" t="s">
        <v>297</v>
      </c>
      <c r="B22" s="2" t="s">
        <v>298</v>
      </c>
      <c r="C22" s="50">
        <v>57</v>
      </c>
      <c r="D22" s="90" t="s">
        <v>255</v>
      </c>
      <c r="E22" s="46" t="s">
        <v>165</v>
      </c>
      <c r="F22" s="46" t="s">
        <v>114</v>
      </c>
      <c r="G22" s="104">
        <v>9305.47</v>
      </c>
      <c r="H22" s="46" t="str">
        <f t="shared" si="2"/>
        <v>M4</v>
      </c>
      <c r="I22" s="47">
        <f t="shared" si="3"/>
        <v>0.6926715111464187</v>
      </c>
      <c r="J22" s="16">
        <f>RANK(I22,I$7:$I$25)</f>
        <v>9</v>
      </c>
      <c r="K22" s="16">
        <f t="shared" si="0"/>
        <v>9</v>
      </c>
      <c r="L22" s="16">
        <f t="shared" si="4"/>
        <v>2</v>
      </c>
      <c r="M22" s="20">
        <f t="shared" si="1"/>
        <v>6</v>
      </c>
      <c r="N22" s="77">
        <f t="shared" si="5"/>
        <v>0.007206084163400667</v>
      </c>
      <c r="O22" s="41">
        <f t="shared" si="6"/>
        <v>0.3868692285290265</v>
      </c>
      <c r="P22" s="43">
        <f t="shared" si="7"/>
        <v>622.6056717178176</v>
      </c>
      <c r="Q22" s="50">
        <f t="shared" si="8"/>
        <v>9</v>
      </c>
      <c r="R22" s="50">
        <f t="shared" si="9"/>
        <v>9305.47</v>
      </c>
      <c r="S22" s="50">
        <f t="shared" si="10"/>
        <v>0</v>
      </c>
      <c r="T22" s="50">
        <f t="shared" si="11"/>
        <v>4</v>
      </c>
      <c r="U22">
        <f t="shared" si="12"/>
        <v>5</v>
      </c>
      <c r="V22" t="str">
        <f>INDEX(Times!$B$2:$AC$2,1,U22)</f>
        <v>M8kmWalk</v>
      </c>
      <c r="W22">
        <f>INDEX(Times!$B$3:$AC$3,1,U22)</f>
        <v>8000</v>
      </c>
      <c r="X22" s="1">
        <f t="shared" si="13"/>
        <v>3094.953828232212</v>
      </c>
      <c r="Y22">
        <f>INDEX(Times!$B$6:$AC$101,C22-4,U22)</f>
        <v>2133.37</v>
      </c>
      <c r="Z22" s="54">
        <f t="shared" si="14"/>
        <v>0.6893059213159721</v>
      </c>
      <c r="AA22">
        <f t="shared" si="15"/>
        <v>1305.4699999999993</v>
      </c>
      <c r="AB22">
        <f t="shared" si="16"/>
        <v>6</v>
      </c>
      <c r="AC22">
        <f>INDEX(Times!$B$3:$AC$3,1,AB22)</f>
        <v>10000</v>
      </c>
      <c r="AD22">
        <f t="shared" si="17"/>
        <v>3868.692285290265</v>
      </c>
      <c r="AE22">
        <f>INDEX(Times!$B$6:$AC$101,C22-4,AB22)</f>
        <v>2686.66</v>
      </c>
      <c r="AF22" s="54">
        <f t="shared" si="18"/>
        <v>0.6944620563944444</v>
      </c>
      <c r="AG22">
        <f t="shared" si="19"/>
        <v>2000</v>
      </c>
    </row>
    <row r="23" spans="1:33" ht="12.75">
      <c r="A23" s="101" t="s">
        <v>299</v>
      </c>
      <c r="B23" s="101" t="s">
        <v>300</v>
      </c>
      <c r="C23" s="50">
        <v>74</v>
      </c>
      <c r="D23" s="90" t="s">
        <v>255</v>
      </c>
      <c r="E23" s="46" t="s">
        <v>253</v>
      </c>
      <c r="F23" s="46" t="s">
        <v>114</v>
      </c>
      <c r="G23" s="104">
        <v>8536.08</v>
      </c>
      <c r="H23" s="46" t="str">
        <f t="shared" si="2"/>
        <v>M5</v>
      </c>
      <c r="I23" s="47">
        <f t="shared" si="3"/>
        <v>0.7673323627455827</v>
      </c>
      <c r="J23" s="16">
        <f>RANK(I23,I$7:$I$25)</f>
        <v>3</v>
      </c>
      <c r="K23" s="16">
        <f t="shared" si="0"/>
        <v>3</v>
      </c>
      <c r="L23" s="16">
        <f t="shared" si="4"/>
        <v>8</v>
      </c>
      <c r="M23" s="20">
        <f t="shared" si="1"/>
        <v>9</v>
      </c>
      <c r="N23" s="77">
        <f t="shared" si="5"/>
        <v>0.007855596479883037</v>
      </c>
      <c r="O23" s="41">
        <f t="shared" si="6"/>
        <v>0.42173925267804424</v>
      </c>
      <c r="P23" s="43">
        <f t="shared" si="7"/>
        <v>678.7235358618944</v>
      </c>
      <c r="Q23" s="50">
        <f t="shared" si="8"/>
        <v>3</v>
      </c>
      <c r="R23" s="50">
        <f t="shared" si="9"/>
        <v>8536.08</v>
      </c>
      <c r="S23" s="50">
        <f t="shared" si="10"/>
        <v>0</v>
      </c>
      <c r="T23" s="50">
        <f t="shared" si="11"/>
        <v>5</v>
      </c>
      <c r="U23">
        <f t="shared" si="12"/>
        <v>5</v>
      </c>
      <c r="V23" t="str">
        <f>INDEX(Times!$B$2:$AC$2,1,U23)</f>
        <v>M8kmWalk</v>
      </c>
      <c r="W23">
        <f>INDEX(Times!$B$3:$AC$3,1,U23)</f>
        <v>8000</v>
      </c>
      <c r="X23" s="1">
        <f t="shared" si="13"/>
        <v>3373.914021424354</v>
      </c>
      <c r="Y23">
        <f>INDEX(Times!$B$6:$AC$101,C23-4,U23)</f>
        <v>2583.38</v>
      </c>
      <c r="Z23" s="54">
        <f t="shared" si="14"/>
        <v>0.7656923038333334</v>
      </c>
      <c r="AA23">
        <f t="shared" si="15"/>
        <v>536.0799999999999</v>
      </c>
      <c r="AB23">
        <f t="shared" si="16"/>
        <v>6</v>
      </c>
      <c r="AC23">
        <f>INDEX(Times!$B$3:$AC$3,1,AB23)</f>
        <v>10000</v>
      </c>
      <c r="AD23">
        <f t="shared" si="17"/>
        <v>4217.3925267804425</v>
      </c>
      <c r="AE23">
        <f>INDEX(Times!$B$6:$AC$101,C23-4,AB23)</f>
        <v>3255.03</v>
      </c>
      <c r="AF23" s="54">
        <f t="shared" si="18"/>
        <v>0.7718110134</v>
      </c>
      <c r="AG23">
        <f t="shared" si="19"/>
        <v>2000</v>
      </c>
    </row>
    <row r="24" spans="1:33" ht="12.75">
      <c r="A24" s="2" t="s">
        <v>301</v>
      </c>
      <c r="B24" s="2" t="s">
        <v>302</v>
      </c>
      <c r="C24" s="50">
        <v>65</v>
      </c>
      <c r="D24" s="90" t="s">
        <v>255</v>
      </c>
      <c r="E24" s="46" t="s">
        <v>253</v>
      </c>
      <c r="F24" s="46" t="s">
        <v>114</v>
      </c>
      <c r="G24" s="104">
        <v>7669.88</v>
      </c>
      <c r="H24" s="46" t="str">
        <f t="shared" si="2"/>
        <v>M6</v>
      </c>
      <c r="I24" s="47">
        <f t="shared" si="3"/>
        <v>0.6145512194816369</v>
      </c>
      <c r="J24" s="16">
        <f>RANK(I24,I$7:$I$25)</f>
        <v>17</v>
      </c>
      <c r="K24" s="16">
        <f t="shared" si="0"/>
        <v>17</v>
      </c>
      <c r="L24" s="16">
        <f t="shared" si="4"/>
        <v>1</v>
      </c>
      <c r="M24" s="20">
        <f t="shared" si="1"/>
        <v>16</v>
      </c>
      <c r="N24" s="77">
        <f t="shared" si="5"/>
        <v>0.008742770421440752</v>
      </c>
      <c r="O24" s="41">
        <f t="shared" si="6"/>
        <v>0.46936849077169396</v>
      </c>
      <c r="P24" s="43">
        <f t="shared" si="7"/>
        <v>755.3753644124811</v>
      </c>
      <c r="Q24" s="50">
        <f t="shared" si="8"/>
        <v>17</v>
      </c>
      <c r="R24" s="50">
        <f t="shared" si="9"/>
        <v>7669.88</v>
      </c>
      <c r="S24" s="50">
        <f t="shared" si="10"/>
        <v>0</v>
      </c>
      <c r="T24" s="50">
        <f t="shared" si="11"/>
        <v>6</v>
      </c>
      <c r="U24">
        <f t="shared" si="12"/>
        <v>4</v>
      </c>
      <c r="V24" t="str">
        <f>INDEX(Times!$B$2:$AC$2,1,U24)</f>
        <v>M5kmWalk</v>
      </c>
      <c r="W24">
        <f>INDEX(Times!$B$3:$AC$3,1,U24)</f>
        <v>5000</v>
      </c>
      <c r="X24" s="1">
        <f t="shared" si="13"/>
        <v>2346.84245385847</v>
      </c>
      <c r="Y24">
        <f>INDEX(Times!$B$6:$AC$101,C24-4,U24)</f>
        <v>1417.88</v>
      </c>
      <c r="Z24" s="54">
        <f t="shared" si="14"/>
        <v>0.6041649696888889</v>
      </c>
      <c r="AA24">
        <f t="shared" si="15"/>
        <v>2669.88</v>
      </c>
      <c r="AB24">
        <f t="shared" si="16"/>
        <v>5</v>
      </c>
      <c r="AC24">
        <f>INDEX(Times!$B$3:$AC$3,1,AB24)</f>
        <v>8000</v>
      </c>
      <c r="AD24">
        <f t="shared" si="17"/>
        <v>3754.947926173552</v>
      </c>
      <c r="AE24">
        <f>INDEX(Times!$B$6:$AC$101,C24-4,AB24)</f>
        <v>2312.43</v>
      </c>
      <c r="AF24" s="54">
        <f t="shared" si="18"/>
        <v>0.6158354377916666</v>
      </c>
      <c r="AG24">
        <f t="shared" si="19"/>
        <v>3000</v>
      </c>
    </row>
    <row r="25" ht="3.75" customHeight="1"/>
    <row r="27" spans="1:6" ht="12.75">
      <c r="A27" s="36" t="s">
        <v>123</v>
      </c>
      <c r="D27" s="38"/>
      <c r="F27" s="65"/>
    </row>
    <row r="28" spans="1:6" ht="12.75">
      <c r="A28" s="14" t="s">
        <v>169</v>
      </c>
      <c r="D28" s="38"/>
      <c r="F28" s="19"/>
    </row>
    <row r="29" spans="1:6" ht="12.75">
      <c r="A29" s="14" t="s">
        <v>122</v>
      </c>
      <c r="D29" s="38"/>
      <c r="F29" s="19"/>
    </row>
    <row r="30" spans="1:6" ht="12.75">
      <c r="A30" s="14" t="s">
        <v>170</v>
      </c>
      <c r="D30" s="38"/>
      <c r="F30" s="19"/>
    </row>
    <row r="31" spans="1:6" ht="12.75">
      <c r="A31" s="14"/>
      <c r="D31" s="38"/>
      <c r="F31" s="19"/>
    </row>
    <row r="32" spans="1:20" ht="12.75">
      <c r="A32" s="5" t="s">
        <v>149</v>
      </c>
      <c r="D32" s="38"/>
      <c r="Q32"/>
      <c r="R32"/>
      <c r="S32"/>
      <c r="T32"/>
    </row>
    <row r="33" spans="1:20" ht="12.75">
      <c r="A33" t="s">
        <v>155</v>
      </c>
      <c r="Q33"/>
      <c r="R33"/>
      <c r="S33"/>
      <c r="T33"/>
    </row>
    <row r="34" spans="1:20" ht="12.75">
      <c r="A34" t="s">
        <v>229</v>
      </c>
      <c r="Q34"/>
      <c r="R34"/>
      <c r="S34"/>
      <c r="T34"/>
    </row>
    <row r="35" spans="1:20" ht="12.75">
      <c r="A35" t="s">
        <v>230</v>
      </c>
      <c r="Q35"/>
      <c r="R35"/>
      <c r="S35"/>
      <c r="T35"/>
    </row>
    <row r="36" spans="1:20" ht="12.75">
      <c r="A36" t="s">
        <v>232</v>
      </c>
      <c r="Q36"/>
      <c r="R36"/>
      <c r="S36"/>
      <c r="T36"/>
    </row>
    <row r="37" spans="1:20" ht="12.75">
      <c r="A37" s="17" t="s">
        <v>350</v>
      </c>
      <c r="Q37"/>
      <c r="R37"/>
      <c r="S37"/>
      <c r="T37"/>
    </row>
    <row r="38" spans="17:20" ht="12.75">
      <c r="Q38"/>
      <c r="R38"/>
      <c r="S38"/>
      <c r="T38"/>
    </row>
    <row r="39" spans="1:20" ht="12.75">
      <c r="A39" t="s">
        <v>228</v>
      </c>
      <c r="Q39"/>
      <c r="R39"/>
      <c r="S39"/>
      <c r="T39"/>
    </row>
    <row r="40" spans="17:20" ht="12.75">
      <c r="Q40"/>
      <c r="R40"/>
      <c r="S40"/>
      <c r="T40"/>
    </row>
    <row r="41" spans="17:20" ht="12.75">
      <c r="Q41"/>
      <c r="R41"/>
      <c r="S41"/>
      <c r="T41"/>
    </row>
    <row r="42" spans="17:20" ht="12.75">
      <c r="Q42"/>
      <c r="R42"/>
      <c r="S42"/>
      <c r="T42"/>
    </row>
    <row r="43" spans="17:20" ht="12.75">
      <c r="Q43"/>
      <c r="R43"/>
      <c r="S43"/>
      <c r="T43"/>
    </row>
    <row r="44" spans="17:20" ht="12.75">
      <c r="Q44"/>
      <c r="R44"/>
      <c r="S44"/>
      <c r="T44"/>
    </row>
    <row r="45" spans="17:20" ht="12.75">
      <c r="Q45"/>
      <c r="R45"/>
      <c r="S45"/>
      <c r="T45"/>
    </row>
    <row r="46" spans="17:20" ht="12.75">
      <c r="Q46"/>
      <c r="R46"/>
      <c r="S46"/>
      <c r="T46"/>
    </row>
    <row r="47" spans="17:20" ht="12.75">
      <c r="Q47"/>
      <c r="R47"/>
      <c r="S47"/>
      <c r="T47"/>
    </row>
    <row r="48" spans="17:20" ht="12.75">
      <c r="Q48"/>
      <c r="R48"/>
      <c r="S48"/>
      <c r="T48"/>
    </row>
    <row r="49" spans="17:20" ht="12.75">
      <c r="Q49"/>
      <c r="R49"/>
      <c r="S49"/>
      <c r="T49"/>
    </row>
    <row r="50" spans="17:20" ht="12.75">
      <c r="Q50"/>
      <c r="R50"/>
      <c r="S50"/>
      <c r="T50"/>
    </row>
    <row r="51" spans="17:20" ht="12.75">
      <c r="Q51"/>
      <c r="R51"/>
      <c r="S51"/>
      <c r="T51"/>
    </row>
    <row r="52" spans="17:20" ht="12.75">
      <c r="Q52"/>
      <c r="R52"/>
      <c r="S52"/>
      <c r="T52"/>
    </row>
    <row r="53" spans="17:20" ht="12.75">
      <c r="Q53"/>
      <c r="R53"/>
      <c r="S53"/>
      <c r="T53"/>
    </row>
    <row r="54" spans="17:20" ht="12.75">
      <c r="Q54"/>
      <c r="R54"/>
      <c r="S54"/>
      <c r="T54"/>
    </row>
    <row r="55" spans="17:20" ht="12.75">
      <c r="Q55"/>
      <c r="R55"/>
      <c r="S55"/>
      <c r="T55"/>
    </row>
    <row r="56" spans="17:20" ht="12.75">
      <c r="Q56"/>
      <c r="R56"/>
      <c r="S56"/>
      <c r="T56"/>
    </row>
    <row r="57" spans="17:20" ht="12.75">
      <c r="Q57"/>
      <c r="R57"/>
      <c r="S57"/>
      <c r="T57"/>
    </row>
    <row r="58" spans="1:20" ht="12.75">
      <c r="A58" t="s">
        <v>158</v>
      </c>
      <c r="Q58"/>
      <c r="R58"/>
      <c r="S58"/>
      <c r="T58"/>
    </row>
    <row r="59" spans="1:20" ht="12.75">
      <c r="A59" t="s">
        <v>231</v>
      </c>
      <c r="Q59"/>
      <c r="R59"/>
      <c r="S59"/>
      <c r="T59"/>
    </row>
  </sheetData>
  <sheetProtection/>
  <mergeCells count="1">
    <mergeCell ref="O4:Q4"/>
  </mergeCells>
  <printOptions/>
  <pageMargins left="0.75" right="0.75" top="1" bottom="1" header="0.5" footer="0.5"/>
  <pageSetup horizontalDpi="600" verticalDpi="600" orientation="portrait" r:id="rId2"/>
  <headerFooter alignWithMargins="0">
    <oddHeader>&amp;c</oddHeader>
    <oddFooter>&amp;c</oddFooter>
  </headerFooter>
  <drawing r:id="rId1"/>
</worksheet>
</file>

<file path=xl/worksheets/sheet5.xml><?xml version="1.0" encoding="utf-8"?>
<worksheet xmlns="http://schemas.openxmlformats.org/spreadsheetml/2006/main" xmlns:r="http://schemas.openxmlformats.org/officeDocument/2006/relationships">
  <dimension ref="A1:N55"/>
  <sheetViews>
    <sheetView zoomScalePageLayoutView="0" workbookViewId="0" topLeftCell="A1">
      <selection activeCell="B3" sqref="B3"/>
    </sheetView>
  </sheetViews>
  <sheetFormatPr defaultColWidth="9.140625" defaultRowHeight="12.75"/>
  <cols>
    <col min="1" max="1" width="12.7109375" style="0" customWidth="1"/>
    <col min="2" max="2" width="9.8515625" style="0" customWidth="1"/>
    <col min="3" max="3" width="5.7109375" style="0" customWidth="1"/>
    <col min="4" max="4" width="12.57421875" style="0" customWidth="1"/>
    <col min="5" max="5" width="12.421875" style="0" bestFit="1" customWidth="1"/>
    <col min="7" max="9" width="7.28125" style="0" customWidth="1"/>
    <col min="10" max="10" width="6.8515625" style="0" customWidth="1"/>
    <col min="11" max="11" width="7.140625" style="0" customWidth="1"/>
    <col min="13" max="13" width="7.140625" style="0" customWidth="1"/>
  </cols>
  <sheetData>
    <row r="1" ht="12.75">
      <c r="A1" s="5" t="s">
        <v>101</v>
      </c>
    </row>
    <row r="2" spans="1:13" ht="12.75">
      <c r="A2" s="6" t="s">
        <v>15</v>
      </c>
      <c r="D2" s="6" t="s">
        <v>16</v>
      </c>
      <c r="G2" s="6" t="s">
        <v>93</v>
      </c>
      <c r="J2" s="6" t="s">
        <v>94</v>
      </c>
      <c r="M2" t="s">
        <v>118</v>
      </c>
    </row>
    <row r="3" spans="1:14" ht="12.75">
      <c r="A3" t="s">
        <v>17</v>
      </c>
      <c r="B3" s="8">
        <v>52</v>
      </c>
      <c r="D3" t="s">
        <v>21</v>
      </c>
      <c r="E3" s="11">
        <f>E7/E4</f>
        <v>0.7266525423728813</v>
      </c>
      <c r="G3" s="29">
        <f>FLOOR(E4/INDEX(Times!B4:AC4,1,B4)/60,1)</f>
        <v>9</v>
      </c>
      <c r="H3" s="30">
        <f>E4/INDEX(Times!B4:AC4,1,B4)-G3*60</f>
        <v>29.707775999999967</v>
      </c>
      <c r="J3" s="29">
        <f>FLOOR(E4/INDEX(Times!B3:AC3,1,B4)*400/60,1)</f>
        <v>2</v>
      </c>
      <c r="K3" s="30">
        <f>E4/INDEX(Times!B3:AC3,1,B4)*400-J3*60</f>
        <v>21.599999999999994</v>
      </c>
      <c r="M3" s="29">
        <f>FLOOR(E4/INDEX(Times!B3:AC3,1,B4)*1000/60,1)</f>
        <v>5</v>
      </c>
      <c r="N3" s="30">
        <f>E4/INDEX(Times!B3:AC3,1,B4)*1000-M3*60</f>
        <v>54</v>
      </c>
    </row>
    <row r="4" spans="1:8" ht="12.75">
      <c r="A4" t="s">
        <v>24</v>
      </c>
      <c r="B4" s="9">
        <v>6</v>
      </c>
      <c r="D4" t="s">
        <v>22</v>
      </c>
      <c r="E4" s="12">
        <f>B7+B6*60+B5*3600</f>
        <v>3540</v>
      </c>
      <c r="G4" t="s">
        <v>96</v>
      </c>
      <c r="H4" s="6"/>
    </row>
    <row r="5" spans="1:11" ht="12.75">
      <c r="A5" t="s">
        <v>18</v>
      </c>
      <c r="B5" s="8">
        <v>0</v>
      </c>
      <c r="D5" t="s">
        <v>97</v>
      </c>
      <c r="E5" s="12">
        <f>E6/E3</f>
        <v>3070.2431628666395</v>
      </c>
      <c r="F5" s="19" t="s">
        <v>70</v>
      </c>
      <c r="G5" s="29">
        <f>FLOOR(E5/3600,1)</f>
        <v>0</v>
      </c>
      <c r="H5" s="29">
        <f>FLOOR((E5-FLOOR(E5/3600,1))/60,1)</f>
        <v>51</v>
      </c>
      <c r="I5" s="30">
        <f>E5-FLOOR(E5/60,1)*60</f>
        <v>10.243162866639523</v>
      </c>
      <c r="K5" t="s">
        <v>98</v>
      </c>
    </row>
    <row r="6" spans="1:11" ht="12.75">
      <c r="A6" t="s">
        <v>19</v>
      </c>
      <c r="B6" s="8">
        <v>59</v>
      </c>
      <c r="D6" t="s">
        <v>95</v>
      </c>
      <c r="E6" s="13">
        <f>INDEX(Times!B6:AC101,25-4,Individual!B4)</f>
        <v>2231</v>
      </c>
      <c r="F6" s="19" t="s">
        <v>70</v>
      </c>
      <c r="G6" s="13">
        <f>FLOOR(E6/3600,1)</f>
        <v>0</v>
      </c>
      <c r="H6" s="13">
        <f>FLOOR((E6-FLOOR(E6/3600,1))/60,1)</f>
        <v>37</v>
      </c>
      <c r="I6" s="12">
        <f>E6-FLOOR(E6/60,1)*60</f>
        <v>11</v>
      </c>
      <c r="K6" t="s">
        <v>100</v>
      </c>
    </row>
    <row r="7" spans="1:11" ht="12.75">
      <c r="A7" t="s">
        <v>20</v>
      </c>
      <c r="B7" s="32">
        <v>0</v>
      </c>
      <c r="D7" t="s">
        <v>23</v>
      </c>
      <c r="E7" s="12">
        <f>INDEX(Times!B6:AC101,Individual!B3-4,Individual!B4)</f>
        <v>2572.35</v>
      </c>
      <c r="F7" s="19" t="s">
        <v>70</v>
      </c>
      <c r="G7" s="13">
        <f>FLOOR(E7/3600,1)</f>
        <v>0</v>
      </c>
      <c r="H7" s="13">
        <f>FLOOR((E7-FLOOR(E7/3600,1))/60,1)</f>
        <v>42</v>
      </c>
      <c r="I7" s="12">
        <f>E7-FLOOR(E7/60,1)*60</f>
        <v>52.34999999999991</v>
      </c>
      <c r="K7" t="s">
        <v>99</v>
      </c>
    </row>
    <row r="8" spans="2:5" ht="12.75">
      <c r="B8" s="31"/>
      <c r="D8" t="s">
        <v>67</v>
      </c>
      <c r="E8" s="13" t="str">
        <f>INDEX(Times!B2:AC2,1,Individual!B4)</f>
        <v>M10kmWalk</v>
      </c>
    </row>
    <row r="9" spans="2:5" ht="12.75">
      <c r="B9" s="31"/>
      <c r="E9" s="31"/>
    </row>
    <row r="10" spans="1:5" ht="12.75">
      <c r="A10" s="5" t="s">
        <v>177</v>
      </c>
      <c r="B10" s="31"/>
      <c r="E10" s="31"/>
    </row>
    <row r="11" spans="1:11" ht="12.75">
      <c r="A11" s="6" t="s">
        <v>15</v>
      </c>
      <c r="B11" s="31"/>
      <c r="D11" s="6" t="s">
        <v>16</v>
      </c>
      <c r="E11" s="31"/>
      <c r="G11" s="58" t="s">
        <v>187</v>
      </c>
      <c r="H11" s="58"/>
      <c r="I11" s="58"/>
      <c r="K11" t="s">
        <v>181</v>
      </c>
    </row>
    <row r="12" spans="1:12" ht="12.75">
      <c r="A12" t="s">
        <v>74</v>
      </c>
      <c r="B12" s="8">
        <v>52</v>
      </c>
      <c r="D12" t="s">
        <v>20</v>
      </c>
      <c r="E12" s="12">
        <f>E13/B14</f>
        <v>3429.7999999999997</v>
      </c>
      <c r="F12" s="63" t="s">
        <v>179</v>
      </c>
      <c r="G12" s="29">
        <f>FLOOR(E12/3600,1)</f>
        <v>0</v>
      </c>
      <c r="H12" s="29">
        <f>FLOOR((E12-FLOOR(E12/3600,1))/60,1)</f>
        <v>57</v>
      </c>
      <c r="I12" s="30">
        <f>E12-FLOOR(E12/60,1)*60</f>
        <v>9.799999999999727</v>
      </c>
      <c r="K12" s="29">
        <f>FLOOR(E12/INDEX(Times!B4:AC4,1,B13)/60,1)</f>
        <v>9</v>
      </c>
      <c r="L12" s="30">
        <f>E12/INDEX(Times!B4:AC4,1,B13)-K12*60</f>
        <v>11.972805119999975</v>
      </c>
    </row>
    <row r="13" spans="1:11" ht="12.75">
      <c r="A13" t="s">
        <v>178</v>
      </c>
      <c r="B13" s="8">
        <v>6</v>
      </c>
      <c r="D13" t="s">
        <v>180</v>
      </c>
      <c r="E13" s="12">
        <f>INDEX(Times!B6:AC101,B12-4,B13)</f>
        <v>2572.35</v>
      </c>
      <c r="F13" s="63" t="s">
        <v>179</v>
      </c>
      <c r="G13" s="13">
        <f>FLOOR(E13/3600,1)</f>
        <v>0</v>
      </c>
      <c r="H13" s="13">
        <f>FLOOR((E13-FLOOR(E13/3600,1))/60,1)</f>
        <v>42</v>
      </c>
      <c r="I13" s="12">
        <f>E13-FLOOR(E13/60,1)*60</f>
        <v>52.34999999999991</v>
      </c>
      <c r="K13" t="s">
        <v>182</v>
      </c>
    </row>
    <row r="14" spans="1:12" ht="12.75">
      <c r="A14" t="s">
        <v>133</v>
      </c>
      <c r="B14" s="64">
        <v>0.75</v>
      </c>
      <c r="D14" t="s">
        <v>185</v>
      </c>
      <c r="E14" s="12">
        <f>E15/B14</f>
        <v>2974.6666666666665</v>
      </c>
      <c r="F14" s="63" t="s">
        <v>179</v>
      </c>
      <c r="G14" s="13">
        <f>FLOOR(E14/3600,1)</f>
        <v>0</v>
      </c>
      <c r="H14" s="13">
        <f>FLOOR((E14-FLOOR(E14/3600,1))/60,1)</f>
        <v>49</v>
      </c>
      <c r="I14" s="12">
        <f>E14-FLOOR(E14/60,1)*60</f>
        <v>34.666666666666515</v>
      </c>
      <c r="K14" s="29">
        <f>FLOOR(E12/INDEX(Times!B3:AC3,1,B13)*400/60,1)</f>
        <v>2</v>
      </c>
      <c r="L14" s="30">
        <f>E12/INDEX(Times!B3:AC3,1,B13)*400-K14*60</f>
        <v>17.19199999999998</v>
      </c>
    </row>
    <row r="15" spans="2:11" ht="12.75">
      <c r="B15" s="31"/>
      <c r="D15" t="s">
        <v>186</v>
      </c>
      <c r="E15" s="12">
        <f>INDEX(Times!B6:AC101,25-4,B13)</f>
        <v>2231</v>
      </c>
      <c r="F15" s="63" t="s">
        <v>179</v>
      </c>
      <c r="G15" s="13">
        <f>FLOOR(E15/3600,1)</f>
        <v>0</v>
      </c>
      <c r="H15" s="13">
        <f>FLOOR((E15-FLOOR(E15/3600,1))/60,1)</f>
        <v>37</v>
      </c>
      <c r="I15" s="12">
        <f>E15-FLOOR(E15/60,1)*60</f>
        <v>11</v>
      </c>
      <c r="K15" t="s">
        <v>183</v>
      </c>
    </row>
    <row r="16" spans="2:12" ht="12.75">
      <c r="B16" s="31"/>
      <c r="D16" t="s">
        <v>184</v>
      </c>
      <c r="E16" s="13" t="str">
        <f>INDEX(Times!B2:AC2,1,B13)</f>
        <v>M10kmWalk</v>
      </c>
      <c r="K16" s="29">
        <f>FLOOR(E12/INDEX(Times!B3:AC3,1,B13)*1000/60,1)</f>
        <v>5</v>
      </c>
      <c r="L16" s="30">
        <f>E12/INDEX(Times!B3:AC3,1,B13)*1000-K16*60</f>
        <v>42.97999999999996</v>
      </c>
    </row>
    <row r="17" spans="2:5" ht="12.75">
      <c r="B17" s="31"/>
      <c r="E17" s="31"/>
    </row>
    <row r="18" spans="1:5" ht="12.75">
      <c r="A18" s="6" t="s">
        <v>125</v>
      </c>
      <c r="B18" s="31"/>
      <c r="E18" s="31"/>
    </row>
    <row r="19" spans="1:5" ht="12.75">
      <c r="A19" t="s">
        <v>124</v>
      </c>
      <c r="B19" s="40">
        <v>40267</v>
      </c>
      <c r="E19" s="31"/>
    </row>
    <row r="20" spans="1:4" ht="12.75">
      <c r="A20" t="s">
        <v>126</v>
      </c>
      <c r="B20" s="37">
        <v>14246</v>
      </c>
      <c r="C20" t="s">
        <v>127</v>
      </c>
      <c r="D20" s="38">
        <f>FLOOR((B19-B20+1)/365.25,1)</f>
        <v>71</v>
      </c>
    </row>
    <row r="21" spans="1:7" s="17" customFormat="1" ht="12.75">
      <c r="A21" s="26"/>
      <c r="B21" s="26"/>
      <c r="C21" s="26"/>
      <c r="D21" s="26"/>
      <c r="E21" s="26"/>
      <c r="F21" s="26"/>
      <c r="G21" s="26"/>
    </row>
    <row r="22" ht="12.75">
      <c r="A22" s="4" t="s">
        <v>25</v>
      </c>
    </row>
    <row r="23" spans="1:4" ht="12.75">
      <c r="A23" s="6" t="s">
        <v>68</v>
      </c>
      <c r="D23" s="6" t="s">
        <v>69</v>
      </c>
    </row>
    <row r="24" spans="1:5" ht="12.75">
      <c r="A24" s="3" t="s">
        <v>0</v>
      </c>
      <c r="B24">
        <v>1</v>
      </c>
      <c r="D24" s="3" t="s">
        <v>38</v>
      </c>
      <c r="E24">
        <v>15</v>
      </c>
    </row>
    <row r="25" spans="1:5" ht="12.75">
      <c r="A25" s="3" t="s">
        <v>1</v>
      </c>
      <c r="B25">
        <v>2</v>
      </c>
      <c r="D25" s="3" t="s">
        <v>39</v>
      </c>
      <c r="E25">
        <v>16</v>
      </c>
    </row>
    <row r="26" spans="1:5" ht="12.75">
      <c r="A26" s="3" t="s">
        <v>2</v>
      </c>
      <c r="B26">
        <v>3</v>
      </c>
      <c r="D26" s="3" t="s">
        <v>40</v>
      </c>
      <c r="E26">
        <v>17</v>
      </c>
    </row>
    <row r="27" spans="1:5" ht="12.75">
      <c r="A27" s="3" t="s">
        <v>3</v>
      </c>
      <c r="B27">
        <v>4</v>
      </c>
      <c r="D27" s="3" t="s">
        <v>41</v>
      </c>
      <c r="E27">
        <v>18</v>
      </c>
    </row>
    <row r="28" spans="1:5" ht="12.75">
      <c r="A28" s="3" t="s">
        <v>4</v>
      </c>
      <c r="B28">
        <v>5</v>
      </c>
      <c r="D28" s="3" t="s">
        <v>42</v>
      </c>
      <c r="E28">
        <v>19</v>
      </c>
    </row>
    <row r="29" spans="1:5" ht="12.75">
      <c r="A29" s="3" t="s">
        <v>5</v>
      </c>
      <c r="B29">
        <v>6</v>
      </c>
      <c r="D29" s="3" t="s">
        <v>43</v>
      </c>
      <c r="E29">
        <v>20</v>
      </c>
    </row>
    <row r="30" spans="1:5" ht="12.75">
      <c r="A30" s="3" t="s">
        <v>6</v>
      </c>
      <c r="B30">
        <v>7</v>
      </c>
      <c r="D30" s="3" t="s">
        <v>44</v>
      </c>
      <c r="E30">
        <v>21</v>
      </c>
    </row>
    <row r="31" spans="1:5" ht="12.75">
      <c r="A31" s="3" t="s">
        <v>7</v>
      </c>
      <c r="B31">
        <v>8</v>
      </c>
      <c r="D31" s="3" t="s">
        <v>45</v>
      </c>
      <c r="E31">
        <v>22</v>
      </c>
    </row>
    <row r="32" spans="1:5" ht="12.75">
      <c r="A32" s="3" t="s">
        <v>8</v>
      </c>
      <c r="B32">
        <v>9</v>
      </c>
      <c r="D32" s="3" t="s">
        <v>46</v>
      </c>
      <c r="E32">
        <v>23</v>
      </c>
    </row>
    <row r="33" spans="1:5" ht="12.75">
      <c r="A33" s="3" t="s">
        <v>9</v>
      </c>
      <c r="B33">
        <v>10</v>
      </c>
      <c r="D33" s="3" t="s">
        <v>47</v>
      </c>
      <c r="E33">
        <v>24</v>
      </c>
    </row>
    <row r="34" spans="1:5" ht="12.75">
      <c r="A34" s="3" t="s">
        <v>10</v>
      </c>
      <c r="B34">
        <v>11</v>
      </c>
      <c r="D34" s="3" t="s">
        <v>48</v>
      </c>
      <c r="E34">
        <v>25</v>
      </c>
    </row>
    <row r="35" spans="1:5" ht="12.75">
      <c r="A35" s="3" t="s">
        <v>11</v>
      </c>
      <c r="B35">
        <v>12</v>
      </c>
      <c r="D35" s="3" t="s">
        <v>49</v>
      </c>
      <c r="E35">
        <v>26</v>
      </c>
    </row>
    <row r="36" spans="1:5" ht="12.75">
      <c r="A36" s="3" t="s">
        <v>12</v>
      </c>
      <c r="B36">
        <v>13</v>
      </c>
      <c r="D36" s="3" t="s">
        <v>50</v>
      </c>
      <c r="E36">
        <v>27</v>
      </c>
    </row>
    <row r="37" spans="1:5" ht="12.75">
      <c r="A37" s="3" t="s">
        <v>13</v>
      </c>
      <c r="B37">
        <v>14</v>
      </c>
      <c r="D37" s="3" t="s">
        <v>51</v>
      </c>
      <c r="E37">
        <v>28</v>
      </c>
    </row>
    <row r="39" ht="12.75">
      <c r="A39" s="14" t="s">
        <v>79</v>
      </c>
    </row>
    <row r="40" ht="12.75">
      <c r="A40" s="14"/>
    </row>
    <row r="41" ht="12.75">
      <c r="A41" s="15" t="s">
        <v>192</v>
      </c>
    </row>
    <row r="42" ht="12.75">
      <c r="A42" s="35" t="s">
        <v>195</v>
      </c>
    </row>
    <row r="43" ht="12.75">
      <c r="A43" s="34" t="s">
        <v>188</v>
      </c>
    </row>
    <row r="44" ht="12.75">
      <c r="A44" s="34" t="s">
        <v>189</v>
      </c>
    </row>
    <row r="45" ht="12.75">
      <c r="A45" s="34" t="s">
        <v>190</v>
      </c>
    </row>
    <row r="46" ht="12.75">
      <c r="A46" s="34" t="s">
        <v>191</v>
      </c>
    </row>
    <row r="47" spans="1:10" ht="12.75">
      <c r="A47" s="35" t="s">
        <v>107</v>
      </c>
      <c r="C47" s="34" t="s">
        <v>108</v>
      </c>
      <c r="D47" s="38"/>
      <c r="F47" s="57" t="s">
        <v>109</v>
      </c>
      <c r="G47" s="34"/>
      <c r="I47" s="34" t="s">
        <v>110</v>
      </c>
      <c r="J47" s="57"/>
    </row>
    <row r="49" ht="12.75">
      <c r="A49" s="5" t="s">
        <v>193</v>
      </c>
    </row>
    <row r="50" spans="1:3" ht="12.75">
      <c r="A50" t="s">
        <v>148</v>
      </c>
      <c r="C50" s="34" t="s">
        <v>150</v>
      </c>
    </row>
    <row r="51" spans="1:3" ht="12.75">
      <c r="A51" t="s">
        <v>151</v>
      </c>
      <c r="C51" s="34" t="s">
        <v>152</v>
      </c>
    </row>
    <row r="52" spans="1:8" ht="12.75">
      <c r="A52" t="s">
        <v>153</v>
      </c>
      <c r="C52" s="34" t="s">
        <v>154</v>
      </c>
      <c r="H52" s="34" t="s">
        <v>194</v>
      </c>
    </row>
    <row r="53" spans="1:3" ht="12.75">
      <c r="A53" t="s">
        <v>159</v>
      </c>
      <c r="C53" s="34" t="s">
        <v>160</v>
      </c>
    </row>
    <row r="54" ht="12.75">
      <c r="A54" t="s">
        <v>157</v>
      </c>
    </row>
    <row r="55" ht="12.75">
      <c r="A55" t="s">
        <v>156</v>
      </c>
    </row>
  </sheetData>
  <sheetProtection/>
  <hyperlinks>
    <hyperlink ref="A43" r:id="rId1" display="Men's world masters racewalking records"/>
    <hyperlink ref="A44" r:id="rId2" display="Women's world masters racewalking records"/>
    <hyperlink ref="A45" r:id="rId3" display="American masters racewalking records"/>
    <hyperlink ref="A46" r:id="rId4" display="USATF records overall lists page"/>
    <hyperlink ref="C51" r:id="rId5" display="http://www.masterstrack.com/news2006/agt2006.xls"/>
    <hyperlink ref="C50" r:id="rId6" display="http://masterstrack.com/blog/archives/000785.html"/>
    <hyperlink ref="C52" r:id="rId7" display="http://jick.net/%7Ejess/track/mtf/index.php"/>
    <hyperlink ref="C53" r:id="rId8" display="http://www.philsport.com/narf/aagegrdc06.htm"/>
    <hyperlink ref="C47" r:id="rId9" display="PAUSATF club list"/>
    <hyperlink ref="A47" r:id="rId10" display="PA USATF website"/>
    <hyperlink ref="F47" r:id="rId11" display="PAUSATF adult members list"/>
    <hyperlink ref="I47" r:id="rId12" display="PAUSATF youth members list"/>
    <hyperlink ref="H52" r:id="rId13" display="http://jick.net/~jess/track/mtf/agt/agt2006.html"/>
    <hyperlink ref="A42" r:id="rId14" display="IAAF world records (only long racewalks listed)"/>
  </hyperlinks>
  <printOptions/>
  <pageMargins left="0.75" right="0.75" top="1" bottom="1" header="0.5" footer="0.5"/>
  <pageSetup horizontalDpi="600" verticalDpi="600" orientation="portrait" r:id="rId15"/>
</worksheet>
</file>

<file path=xl/worksheets/sheet6.xml><?xml version="1.0" encoding="utf-8"?>
<worksheet xmlns="http://schemas.openxmlformats.org/spreadsheetml/2006/main" xmlns:r="http://schemas.openxmlformats.org/officeDocument/2006/relationships">
  <dimension ref="A1:K36"/>
  <sheetViews>
    <sheetView zoomScalePageLayoutView="0" workbookViewId="0" topLeftCell="A1">
      <selection activeCell="B19" sqref="B19"/>
    </sheetView>
  </sheetViews>
  <sheetFormatPr defaultColWidth="9.140625" defaultRowHeight="12.75"/>
  <cols>
    <col min="1" max="1" width="17.28125" style="0" customWidth="1"/>
    <col min="2" max="2" width="12.140625" style="0" customWidth="1"/>
    <col min="3" max="3" width="1.8515625" style="0" customWidth="1"/>
    <col min="4" max="4" width="16.140625" style="0" bestFit="1" customWidth="1"/>
    <col min="5" max="5" width="12.140625" style="0" customWidth="1"/>
    <col min="6" max="6" width="3.57421875" style="0" customWidth="1"/>
    <col min="7" max="7" width="17.421875" style="0" bestFit="1" customWidth="1"/>
    <col min="8" max="8" width="10.421875" style="0" customWidth="1"/>
    <col min="9" max="9" width="4.28125" style="0" customWidth="1"/>
    <col min="10" max="10" width="14.8515625" style="0" customWidth="1"/>
    <col min="11" max="11" width="10.28125" style="0" bestFit="1" customWidth="1"/>
  </cols>
  <sheetData>
    <row r="1" ht="12.75">
      <c r="A1" s="5" t="s">
        <v>279</v>
      </c>
    </row>
    <row r="2" ht="12.75">
      <c r="A2" s="4"/>
    </row>
    <row r="3" ht="12.75">
      <c r="A3" s="5" t="s">
        <v>278</v>
      </c>
    </row>
    <row r="5" spans="1:5" ht="12.75">
      <c r="A5" s="139" t="s">
        <v>15</v>
      </c>
      <c r="B5" s="139"/>
      <c r="D5" s="139" t="s">
        <v>16</v>
      </c>
      <c r="E5" s="139"/>
    </row>
    <row r="6" spans="1:5" ht="12.75">
      <c r="A6" s="46" t="s">
        <v>17</v>
      </c>
      <c r="B6" s="8">
        <v>70</v>
      </c>
      <c r="D6" s="46" t="s">
        <v>256</v>
      </c>
      <c r="E6" s="98">
        <f>H16/B9</f>
        <v>0.7337864213797988</v>
      </c>
    </row>
    <row r="7" spans="1:11" ht="12.75">
      <c r="A7" s="46" t="s">
        <v>257</v>
      </c>
      <c r="B7" s="96" t="s">
        <v>255</v>
      </c>
      <c r="D7" s="46" t="s">
        <v>258</v>
      </c>
      <c r="E7" s="99">
        <f>B9/B8</f>
        <v>0.007741769547325102</v>
      </c>
      <c r="F7" s="19" t="s">
        <v>179</v>
      </c>
      <c r="G7" s="99">
        <f>J7*4/10</f>
        <v>0.0019242050294592332</v>
      </c>
      <c r="H7" t="s">
        <v>277</v>
      </c>
      <c r="I7" s="19" t="s">
        <v>276</v>
      </c>
      <c r="J7" s="99">
        <f>E7/(Times!$C$3/1000)</f>
        <v>0.004810512573648083</v>
      </c>
      <c r="K7" t="s">
        <v>275</v>
      </c>
    </row>
    <row r="8" spans="1:6" ht="12.75">
      <c r="A8" s="46" t="s">
        <v>259</v>
      </c>
      <c r="B8" s="8">
        <v>4.5</v>
      </c>
      <c r="D8" s="46" t="s">
        <v>282</v>
      </c>
      <c r="E8" s="100">
        <f>(H18/E6)</f>
        <v>0.025065149019131455</v>
      </c>
      <c r="F8" s="19"/>
    </row>
    <row r="9" spans="1:11" ht="12.75">
      <c r="A9" s="46" t="s">
        <v>260</v>
      </c>
      <c r="B9" s="97">
        <v>0.03483796296296296</v>
      </c>
      <c r="D9" s="46" t="s">
        <v>261</v>
      </c>
      <c r="E9" s="99">
        <f>E8/(B8)</f>
        <v>0.005570033115362545</v>
      </c>
      <c r="F9" s="19" t="s">
        <v>276</v>
      </c>
      <c r="G9" s="99">
        <f>J9*4/10</f>
        <v>0.0013844232470777026</v>
      </c>
      <c r="H9" t="s">
        <v>277</v>
      </c>
      <c r="I9" s="19" t="s">
        <v>276</v>
      </c>
      <c r="J9" s="99">
        <f>E9/(Times!$C$3/1000)</f>
        <v>0.003461058117694256</v>
      </c>
      <c r="K9" t="s">
        <v>275</v>
      </c>
    </row>
    <row r="11" spans="1:8" ht="12.75">
      <c r="A11" s="139" t="s">
        <v>280</v>
      </c>
      <c r="B11" s="139"/>
      <c r="C11" s="139"/>
      <c r="D11" s="139"/>
      <c r="E11" s="139"/>
      <c r="F11" s="139"/>
      <c r="G11" s="139"/>
      <c r="H11" s="139"/>
    </row>
    <row r="12" spans="1:8" ht="12.75">
      <c r="A12" s="46" t="s">
        <v>262</v>
      </c>
      <c r="B12" s="46" t="str">
        <f>IF(B7="M",(LOOKUP(B8,Times!B4:O4,Times!B5:O5)),(LOOKUP(B8,Times!P4:AC4,Times!P5:AC5)))</f>
        <v>4</v>
      </c>
      <c r="D12" s="46" t="s">
        <v>263</v>
      </c>
      <c r="E12">
        <f>B12+1</f>
        <v>5</v>
      </c>
      <c r="G12" s="46" t="s">
        <v>266</v>
      </c>
      <c r="H12" s="93">
        <f>E14-B14</f>
        <v>1.8641135767120018</v>
      </c>
    </row>
    <row r="13" spans="1:8" ht="12.75">
      <c r="A13" s="46" t="s">
        <v>264</v>
      </c>
      <c r="B13" s="46" t="str">
        <f>INDEX(Times!B2:AC2,1,B12)</f>
        <v>M5kmWalk</v>
      </c>
      <c r="D13" s="46" t="s">
        <v>265</v>
      </c>
      <c r="E13" s="46" t="str">
        <f>INDEX(Times!B2:AC2,1,E12)</f>
        <v>M8kmWalk</v>
      </c>
      <c r="G13" s="46" t="s">
        <v>269</v>
      </c>
      <c r="H13" s="95">
        <f>1-(B8-B14)/H12</f>
        <v>0.2526506666666666</v>
      </c>
    </row>
    <row r="14" spans="1:11" ht="12.75">
      <c r="A14" s="46" t="s">
        <v>267</v>
      </c>
      <c r="B14" s="94">
        <f>INDEX(Times!B4:AC4,1,B12)</f>
        <v>3.1068559611866697</v>
      </c>
      <c r="D14" s="46" t="s">
        <v>268</v>
      </c>
      <c r="E14" s="93">
        <f>INDEX(Times!B4:AC4,1,E12)</f>
        <v>4.970969537898672</v>
      </c>
      <c r="J14" t="s">
        <v>287</v>
      </c>
      <c r="K14" s="93">
        <f>B8*(Times!$C$3/1000)</f>
        <v>7.2420480000000005</v>
      </c>
    </row>
    <row r="15" spans="1:8" ht="12.75">
      <c r="A15" s="46" t="s">
        <v>180</v>
      </c>
      <c r="B15" s="92">
        <f>INDEX(Times!B6:AC101,B6-4,B12)/(24*60*60)</f>
        <v>0.017394791666666666</v>
      </c>
      <c r="D15" s="46" t="s">
        <v>180</v>
      </c>
      <c r="E15" s="92">
        <f>INDEX(Times!B6:AC101,B6-4,E12)/(24*60*60)</f>
        <v>0.028376851851851854</v>
      </c>
      <c r="G15" s="46" t="s">
        <v>270</v>
      </c>
      <c r="H15" s="91">
        <f>B16*H13+E16*(1-H13)</f>
        <v>0.005680805371278791</v>
      </c>
    </row>
    <row r="16" spans="1:8" ht="12.75">
      <c r="A16" s="46" t="s">
        <v>281</v>
      </c>
      <c r="B16" s="91">
        <f>B15/B14</f>
        <v>0.00559884072</v>
      </c>
      <c r="D16" s="46" t="s">
        <v>281</v>
      </c>
      <c r="E16" s="91">
        <f>E15/E14</f>
        <v>0.005708514533333334</v>
      </c>
      <c r="G16" s="46" t="s">
        <v>271</v>
      </c>
      <c r="H16" s="92">
        <f>H15*B8</f>
        <v>0.02556362417075456</v>
      </c>
    </row>
    <row r="17" spans="1:8" ht="12.75">
      <c r="A17" s="46" t="s">
        <v>272</v>
      </c>
      <c r="B17" s="92">
        <f>INDEX(Times!B6:AC101,21,B12)/(24*60*60)</f>
        <v>0.01247210648148148</v>
      </c>
      <c r="D17" s="46" t="s">
        <v>272</v>
      </c>
      <c r="E17" s="92">
        <f>INDEX(Times!B6:AC101,21,E12)/(24*60*60)</f>
        <v>0.020439814814814813</v>
      </c>
      <c r="G17" s="46" t="s">
        <v>273</v>
      </c>
      <c r="H17" s="91">
        <f>B18*H13+E18*(1-H13)</f>
        <v>0.004087214666688854</v>
      </c>
    </row>
    <row r="18" spans="1:8" ht="12.75">
      <c r="A18" s="46" t="s">
        <v>274</v>
      </c>
      <c r="B18" s="91">
        <f>B17/B14</f>
        <v>0.004014381946666666</v>
      </c>
      <c r="D18" s="46" t="s">
        <v>274</v>
      </c>
      <c r="E18" s="91">
        <f>E17/E14</f>
        <v>0.004111836666666667</v>
      </c>
      <c r="G18" s="46" t="s">
        <v>272</v>
      </c>
      <c r="H18" s="92">
        <f>H17*B8</f>
        <v>0.018392466000099843</v>
      </c>
    </row>
    <row r="20" ht="12.75">
      <c r="A20" s="6"/>
    </row>
    <row r="21" ht="12.75">
      <c r="A21" s="5" t="s">
        <v>283</v>
      </c>
    </row>
    <row r="23" spans="1:5" ht="12.75">
      <c r="A23" s="139" t="s">
        <v>15</v>
      </c>
      <c r="B23" s="139"/>
      <c r="D23" s="139" t="s">
        <v>16</v>
      </c>
      <c r="E23" s="139"/>
    </row>
    <row r="24" spans="1:5" ht="12.75">
      <c r="A24" s="46" t="s">
        <v>17</v>
      </c>
      <c r="B24" s="8">
        <v>14</v>
      </c>
      <c r="D24" s="46" t="s">
        <v>256</v>
      </c>
      <c r="E24" s="98">
        <f>H34/B27</f>
        <v>0.7814815234595</v>
      </c>
    </row>
    <row r="25" spans="1:11" ht="12.75">
      <c r="A25" s="46" t="s">
        <v>257</v>
      </c>
      <c r="B25" s="96" t="s">
        <v>250</v>
      </c>
      <c r="D25" s="46" t="s">
        <v>285</v>
      </c>
      <c r="E25" s="99">
        <f>B27/B26</f>
        <v>0.0038871785303355414</v>
      </c>
      <c r="F25" s="19" t="s">
        <v>179</v>
      </c>
      <c r="G25" s="99">
        <f>E25*4/10</f>
        <v>0.0015548714121342165</v>
      </c>
      <c r="H25" t="s">
        <v>277</v>
      </c>
      <c r="I25" s="19" t="s">
        <v>276</v>
      </c>
      <c r="J25" s="99">
        <f>E25*(Times!$C$3/1000)</f>
        <v>0.006255807444724322</v>
      </c>
      <c r="K25" t="s">
        <v>286</v>
      </c>
    </row>
    <row r="26" spans="1:6" ht="12.75">
      <c r="A26" s="46" t="s">
        <v>284</v>
      </c>
      <c r="B26" s="8">
        <v>10.719</v>
      </c>
      <c r="D26" s="46" t="s">
        <v>282</v>
      </c>
      <c r="E26" s="100">
        <f>(H36/E24)</f>
        <v>0.039120505018569444</v>
      </c>
      <c r="F26" s="19"/>
    </row>
    <row r="27" spans="1:11" ht="12.75">
      <c r="A27" s="46" t="s">
        <v>260</v>
      </c>
      <c r="B27" s="97">
        <v>0.041666666666666664</v>
      </c>
      <c r="D27" s="46" t="s">
        <v>261</v>
      </c>
      <c r="E27" s="99">
        <f>E26/(B26)</f>
        <v>0.0036496412928976067</v>
      </c>
      <c r="F27" s="19" t="s">
        <v>276</v>
      </c>
      <c r="G27" s="99">
        <f>E27*4/10</f>
        <v>0.0014598565171590426</v>
      </c>
      <c r="H27" t="s">
        <v>277</v>
      </c>
      <c r="I27" s="19" t="s">
        <v>276</v>
      </c>
      <c r="J27" s="99">
        <f>E27*(Times!$C$3/1000)</f>
        <v>0.005873528316877007</v>
      </c>
      <c r="K27" t="s">
        <v>286</v>
      </c>
    </row>
    <row r="29" spans="1:8" ht="12.75">
      <c r="A29" s="139" t="s">
        <v>280</v>
      </c>
      <c r="B29" s="139"/>
      <c r="C29" s="139"/>
      <c r="D29" s="139"/>
      <c r="E29" s="139"/>
      <c r="F29" s="139"/>
      <c r="G29" s="139"/>
      <c r="H29" s="139"/>
    </row>
    <row r="30" spans="1:8" ht="12.75">
      <c r="A30" s="46" t="s">
        <v>262</v>
      </c>
      <c r="B30" s="46" t="str">
        <f>IF(B25="M",(LOOKUP(B26*1000,Times!B3:O3,Times!B5:O5)),(LOOKUP(B26*1000,Times!P3:AC3,Times!P5:AC5)))</f>
        <v>20</v>
      </c>
      <c r="D30" s="46" t="s">
        <v>263</v>
      </c>
      <c r="E30">
        <f>B30+1</f>
        <v>21</v>
      </c>
      <c r="G30" s="46" t="s">
        <v>289</v>
      </c>
      <c r="H30" s="93">
        <f>E32-B32</f>
        <v>5</v>
      </c>
    </row>
    <row r="31" spans="1:8" ht="12.75">
      <c r="A31" s="46" t="s">
        <v>264</v>
      </c>
      <c r="B31" s="46" t="str">
        <f>INDEX(Times!B2:AC2,1,B30)</f>
        <v>W10kmWalk</v>
      </c>
      <c r="D31" s="46" t="s">
        <v>265</v>
      </c>
      <c r="E31" s="46" t="str">
        <f>INDEX(Times!B2:AC2,1,E30)</f>
        <v>W15kmWalk</v>
      </c>
      <c r="G31" s="46" t="s">
        <v>269</v>
      </c>
      <c r="H31" s="95">
        <f>1-(B26-B32)/H30</f>
        <v>0.8562000000000001</v>
      </c>
    </row>
    <row r="32" spans="1:11" ht="12.75">
      <c r="A32" s="46" t="s">
        <v>267</v>
      </c>
      <c r="B32" s="94">
        <f>INDEX(Times!B3:AC3,1,B30)/1000</f>
        <v>10</v>
      </c>
      <c r="D32" s="46" t="s">
        <v>268</v>
      </c>
      <c r="E32" s="93">
        <f>INDEX(Times!B3:AC3,1,E30)/1000</f>
        <v>15</v>
      </c>
      <c r="J32" t="s">
        <v>288</v>
      </c>
      <c r="K32" s="93">
        <f>B26/(Times!$C$3/1000)</f>
        <v>6.660477809591982</v>
      </c>
    </row>
    <row r="33" spans="1:8" ht="12.75">
      <c r="A33" s="46" t="s">
        <v>180</v>
      </c>
      <c r="B33" s="92">
        <f>INDEX(Times!B6:AC101,B24-4,B30)/(24*60*60)</f>
        <v>0.030288078703703702</v>
      </c>
      <c r="D33" s="46" t="s">
        <v>180</v>
      </c>
      <c r="E33" s="92">
        <f>INDEX(Times!B6:AC101,B24-4,E30)/(24*60*60)</f>
        <v>0.04636574074074074</v>
      </c>
      <c r="G33" s="46" t="s">
        <v>270</v>
      </c>
      <c r="H33" s="91">
        <f>B34*H31+E34*(1-H31)</f>
        <v>0.003037758199845679</v>
      </c>
    </row>
    <row r="34" spans="1:8" ht="12.75">
      <c r="A34" s="46" t="s">
        <v>290</v>
      </c>
      <c r="B34" s="91">
        <f>B33/B32</f>
        <v>0.00302880787037037</v>
      </c>
      <c r="D34" s="46" t="s">
        <v>290</v>
      </c>
      <c r="E34" s="91">
        <f>E33/E32</f>
        <v>0.0030910493827160496</v>
      </c>
      <c r="G34" s="46" t="s">
        <v>271</v>
      </c>
      <c r="H34" s="92">
        <f>H33*B26</f>
        <v>0.03256173014414583</v>
      </c>
    </row>
    <row r="35" spans="1:8" ht="12.75">
      <c r="A35" s="46" t="s">
        <v>272</v>
      </c>
      <c r="B35" s="92">
        <f>INDEX(Times!B6:AC101,21,B30)/(24*60*60)</f>
        <v>0.0284375</v>
      </c>
      <c r="D35" s="46" t="s">
        <v>272</v>
      </c>
      <c r="E35" s="92">
        <f>INDEX(Times!B6:AC101,21,E30)/(24*60*60)</f>
        <v>0.04353009259259259</v>
      </c>
      <c r="G35" s="46" t="s">
        <v>273</v>
      </c>
      <c r="H35" s="91">
        <f>B36*H31+E36*(1-H31)</f>
        <v>0.002852127237654321</v>
      </c>
    </row>
    <row r="36" spans="1:8" ht="12.75">
      <c r="A36" s="46" t="s">
        <v>274</v>
      </c>
      <c r="B36" s="91">
        <f>B35/B32</f>
        <v>0.00284375</v>
      </c>
      <c r="D36" s="46" t="s">
        <v>274</v>
      </c>
      <c r="E36" s="91">
        <f>E35/E32</f>
        <v>0.002902006172839506</v>
      </c>
      <c r="G36" s="46" t="s">
        <v>272</v>
      </c>
      <c r="H36" s="92">
        <f>H35*B26</f>
        <v>0.030571951860416665</v>
      </c>
    </row>
  </sheetData>
  <sheetProtection/>
  <mergeCells count="6">
    <mergeCell ref="A29:H29"/>
    <mergeCell ref="A5:B5"/>
    <mergeCell ref="D5:E5"/>
    <mergeCell ref="A11:H11"/>
    <mergeCell ref="A23:B23"/>
    <mergeCell ref="D23:E23"/>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C101"/>
  <sheetViews>
    <sheetView zoomScalePageLayoutView="0" workbookViewId="0" topLeftCell="A1">
      <selection activeCell="P7" sqref="P7"/>
    </sheetView>
  </sheetViews>
  <sheetFormatPr defaultColWidth="9.140625" defaultRowHeight="12.75"/>
  <cols>
    <col min="2" max="2" width="11.421875" style="0" bestFit="1" customWidth="1"/>
    <col min="3" max="3" width="10.140625" style="0" bestFit="1" customWidth="1"/>
    <col min="4" max="6" width="9.7109375" style="0" bestFit="1" customWidth="1"/>
    <col min="7" max="9" width="10.57421875" style="0" bestFit="1" customWidth="1"/>
    <col min="10" max="10" width="12.00390625" style="0" bestFit="1" customWidth="1"/>
    <col min="11" max="13" width="10.57421875" style="0" bestFit="1" customWidth="1"/>
    <col min="14" max="14" width="10.28125" style="0" bestFit="1" customWidth="1"/>
    <col min="15" max="15" width="10.57421875" style="0" bestFit="1" customWidth="1"/>
  </cols>
  <sheetData>
    <row r="1" ht="12.75">
      <c r="A1" s="5" t="s">
        <v>71</v>
      </c>
    </row>
    <row r="2" spans="1:29" s="2" customFormat="1" ht="12.75">
      <c r="A2" s="2" t="s">
        <v>14</v>
      </c>
      <c r="B2" s="3" t="s">
        <v>0</v>
      </c>
      <c r="C2" s="3" t="s">
        <v>1</v>
      </c>
      <c r="D2" s="3" t="s">
        <v>2</v>
      </c>
      <c r="E2" s="3" t="s">
        <v>3</v>
      </c>
      <c r="F2" s="3" t="s">
        <v>4</v>
      </c>
      <c r="G2" s="3" t="s">
        <v>5</v>
      </c>
      <c r="H2" s="3" t="s">
        <v>6</v>
      </c>
      <c r="I2" s="3" t="s">
        <v>7</v>
      </c>
      <c r="J2" s="3" t="s">
        <v>8</v>
      </c>
      <c r="K2" s="3" t="s">
        <v>9</v>
      </c>
      <c r="L2" s="3" t="s">
        <v>10</v>
      </c>
      <c r="M2" s="3" t="s">
        <v>11</v>
      </c>
      <c r="N2" s="3" t="s">
        <v>12</v>
      </c>
      <c r="O2" s="3" t="s">
        <v>13</v>
      </c>
      <c r="P2" s="3" t="s">
        <v>38</v>
      </c>
      <c r="Q2" s="3" t="s">
        <v>39</v>
      </c>
      <c r="R2" s="3" t="s">
        <v>40</v>
      </c>
      <c r="S2" s="3" t="s">
        <v>41</v>
      </c>
      <c r="T2" s="3" t="s">
        <v>42</v>
      </c>
      <c r="U2" s="3" t="s">
        <v>43</v>
      </c>
      <c r="V2" s="3" t="s">
        <v>44</v>
      </c>
      <c r="W2" s="3" t="s">
        <v>45</v>
      </c>
      <c r="X2" s="3" t="s">
        <v>46</v>
      </c>
      <c r="Y2" s="3" t="s">
        <v>47</v>
      </c>
      <c r="Z2" s="3" t="s">
        <v>48</v>
      </c>
      <c r="AA2" s="3" t="s">
        <v>49</v>
      </c>
      <c r="AB2" s="3" t="s">
        <v>50</v>
      </c>
      <c r="AC2" s="3" t="s">
        <v>51</v>
      </c>
    </row>
    <row r="3" spans="1:29" s="2" customFormat="1" ht="12.75">
      <c r="A3" s="2" t="s">
        <v>90</v>
      </c>
      <c r="B3" s="3">
        <v>1500</v>
      </c>
      <c r="C3" s="3">
        <v>1609.344</v>
      </c>
      <c r="D3" s="3">
        <v>3000</v>
      </c>
      <c r="E3" s="3">
        <v>5000</v>
      </c>
      <c r="F3" s="3">
        <v>8000</v>
      </c>
      <c r="G3" s="3">
        <v>10000</v>
      </c>
      <c r="H3" s="3">
        <v>15000</v>
      </c>
      <c r="I3" s="3">
        <v>20000</v>
      </c>
      <c r="J3" s="3">
        <f>N3/2</f>
        <v>21097.5</v>
      </c>
      <c r="K3" s="3">
        <v>25000</v>
      </c>
      <c r="L3" s="3">
        <v>30000</v>
      </c>
      <c r="M3" s="3">
        <v>40000</v>
      </c>
      <c r="N3" s="3">
        <v>42195</v>
      </c>
      <c r="O3" s="3">
        <v>50000</v>
      </c>
      <c r="P3" s="3">
        <v>1500</v>
      </c>
      <c r="Q3" s="3">
        <v>1609.334</v>
      </c>
      <c r="R3" s="3">
        <v>3000</v>
      </c>
      <c r="S3" s="3">
        <v>5000</v>
      </c>
      <c r="T3" s="3">
        <v>8000</v>
      </c>
      <c r="U3" s="3">
        <v>10000</v>
      </c>
      <c r="V3" s="3">
        <v>15000</v>
      </c>
      <c r="W3" s="3">
        <v>20000</v>
      </c>
      <c r="X3" s="3">
        <f>AB3/2</f>
        <v>21097.5</v>
      </c>
      <c r="Y3" s="3">
        <v>25000</v>
      </c>
      <c r="Z3" s="3">
        <v>30000</v>
      </c>
      <c r="AA3" s="3">
        <v>40000</v>
      </c>
      <c r="AB3" s="3">
        <v>42195</v>
      </c>
      <c r="AC3" s="3">
        <v>50000</v>
      </c>
    </row>
    <row r="4" spans="1:29" s="2" customFormat="1" ht="12.75">
      <c r="A4" s="2" t="s">
        <v>91</v>
      </c>
      <c r="B4" s="28">
        <f>B3/$C$3</f>
        <v>0.9320567883560009</v>
      </c>
      <c r="C4" s="28">
        <f aca="true" t="shared" si="0" ref="C4:O4">C3/$C$3</f>
        <v>1</v>
      </c>
      <c r="D4" s="28">
        <f t="shared" si="0"/>
        <v>1.8641135767120018</v>
      </c>
      <c r="E4" s="28">
        <f t="shared" si="0"/>
        <v>3.1068559611866697</v>
      </c>
      <c r="F4" s="28">
        <f t="shared" si="0"/>
        <v>4.970969537898672</v>
      </c>
      <c r="G4" s="28">
        <f t="shared" si="0"/>
        <v>6.2137119223733395</v>
      </c>
      <c r="H4" s="28">
        <f t="shared" si="0"/>
        <v>9.32056788356001</v>
      </c>
      <c r="I4" s="28">
        <f t="shared" si="0"/>
        <v>12.427423844746679</v>
      </c>
      <c r="J4" s="28">
        <f t="shared" si="0"/>
        <v>13.109378728227153</v>
      </c>
      <c r="K4" s="28">
        <f t="shared" si="0"/>
        <v>15.534279805933348</v>
      </c>
      <c r="L4" s="28">
        <f t="shared" si="0"/>
        <v>18.64113576712002</v>
      </c>
      <c r="M4" s="28">
        <f t="shared" si="0"/>
        <v>24.854847689493358</v>
      </c>
      <c r="N4" s="28">
        <f t="shared" si="0"/>
        <v>26.218757456454306</v>
      </c>
      <c r="O4" s="28">
        <f t="shared" si="0"/>
        <v>31.068559611866696</v>
      </c>
      <c r="P4" s="28">
        <f aca="true" t="shared" si="1" ref="P4:AC4">P3/$C$3</f>
        <v>0.9320567883560009</v>
      </c>
      <c r="Q4" s="28">
        <f t="shared" si="1"/>
        <v>0.9999937862880777</v>
      </c>
      <c r="R4" s="28">
        <f t="shared" si="1"/>
        <v>1.8641135767120018</v>
      </c>
      <c r="S4" s="28">
        <f t="shared" si="1"/>
        <v>3.1068559611866697</v>
      </c>
      <c r="T4" s="28">
        <f t="shared" si="1"/>
        <v>4.970969537898672</v>
      </c>
      <c r="U4" s="28">
        <f t="shared" si="1"/>
        <v>6.2137119223733395</v>
      </c>
      <c r="V4" s="28">
        <f t="shared" si="1"/>
        <v>9.32056788356001</v>
      </c>
      <c r="W4" s="28">
        <f t="shared" si="1"/>
        <v>12.427423844746679</v>
      </c>
      <c r="X4" s="28">
        <f t="shared" si="1"/>
        <v>13.109378728227153</v>
      </c>
      <c r="Y4" s="28">
        <f t="shared" si="1"/>
        <v>15.534279805933348</v>
      </c>
      <c r="Z4" s="28">
        <f t="shared" si="1"/>
        <v>18.64113576712002</v>
      </c>
      <c r="AA4" s="28">
        <f t="shared" si="1"/>
        <v>24.854847689493358</v>
      </c>
      <c r="AB4" s="28">
        <f t="shared" si="1"/>
        <v>26.218757456454306</v>
      </c>
      <c r="AC4" s="28">
        <f t="shared" si="1"/>
        <v>31.068559611866696</v>
      </c>
    </row>
    <row r="5" spans="1:29" s="2" customFormat="1" ht="12.75">
      <c r="A5" s="10" t="s">
        <v>66</v>
      </c>
      <c r="B5" s="7">
        <v>1</v>
      </c>
      <c r="C5" s="7">
        <v>2</v>
      </c>
      <c r="D5" s="7" t="s">
        <v>26</v>
      </c>
      <c r="E5" s="7" t="s">
        <v>27</v>
      </c>
      <c r="F5" s="7" t="s">
        <v>28</v>
      </c>
      <c r="G5" s="7" t="s">
        <v>29</v>
      </c>
      <c r="H5" s="7" t="s">
        <v>30</v>
      </c>
      <c r="I5" s="7" t="s">
        <v>31</v>
      </c>
      <c r="J5" s="7" t="s">
        <v>32</v>
      </c>
      <c r="K5" s="7" t="s">
        <v>33</v>
      </c>
      <c r="L5" s="7" t="s">
        <v>34</v>
      </c>
      <c r="M5" s="7" t="s">
        <v>35</v>
      </c>
      <c r="N5" s="7" t="s">
        <v>36</v>
      </c>
      <c r="O5" s="7" t="s">
        <v>37</v>
      </c>
      <c r="P5" s="7" t="s">
        <v>52</v>
      </c>
      <c r="Q5" s="7" t="s">
        <v>53</v>
      </c>
      <c r="R5" s="7" t="s">
        <v>54</v>
      </c>
      <c r="S5" s="7" t="s">
        <v>55</v>
      </c>
      <c r="T5" s="7" t="s">
        <v>56</v>
      </c>
      <c r="U5" s="7" t="s">
        <v>57</v>
      </c>
      <c r="V5" s="7" t="s">
        <v>58</v>
      </c>
      <c r="W5" s="7" t="s">
        <v>59</v>
      </c>
      <c r="X5" s="7" t="s">
        <v>60</v>
      </c>
      <c r="Y5" s="7" t="s">
        <v>61</v>
      </c>
      <c r="Z5" s="7" t="s">
        <v>62</v>
      </c>
      <c r="AA5" s="7" t="s">
        <v>63</v>
      </c>
      <c r="AB5" s="7" t="s">
        <v>64</v>
      </c>
      <c r="AC5" s="7" t="s">
        <v>65</v>
      </c>
    </row>
    <row r="6" spans="1:29" ht="12.75">
      <c r="A6">
        <v>5</v>
      </c>
      <c r="B6" s="1">
        <v>475.68</v>
      </c>
      <c r="C6" s="1">
        <v>511.65</v>
      </c>
      <c r="D6" s="1">
        <v>972.01</v>
      </c>
      <c r="E6" s="1">
        <v>1658.85</v>
      </c>
      <c r="F6" s="1">
        <v>2718.6</v>
      </c>
      <c r="G6" s="1">
        <v>3434.42</v>
      </c>
      <c r="H6">
        <v>5271</v>
      </c>
      <c r="I6">
        <v>7144</v>
      </c>
      <c r="J6">
        <v>7572</v>
      </c>
      <c r="K6">
        <v>9130</v>
      </c>
      <c r="L6">
        <v>11182</v>
      </c>
      <c r="M6">
        <v>15453</v>
      </c>
      <c r="N6">
        <v>16402</v>
      </c>
      <c r="O6">
        <v>19903</v>
      </c>
      <c r="P6" s="1">
        <v>466.76</v>
      </c>
      <c r="Q6" s="1">
        <v>501.39</v>
      </c>
      <c r="R6" s="1">
        <v>962.6</v>
      </c>
      <c r="S6" s="1">
        <v>1644.04</v>
      </c>
      <c r="T6" s="1">
        <v>2692.52</v>
      </c>
      <c r="U6" s="1">
        <v>3403.05</v>
      </c>
      <c r="V6">
        <v>5209</v>
      </c>
      <c r="W6">
        <v>7048</v>
      </c>
      <c r="X6">
        <v>7494</v>
      </c>
      <c r="Y6">
        <v>9109</v>
      </c>
      <c r="Z6">
        <v>11244</v>
      </c>
      <c r="AA6">
        <v>15698</v>
      </c>
      <c r="AB6">
        <v>16706</v>
      </c>
      <c r="AC6">
        <v>20368</v>
      </c>
    </row>
    <row r="7" spans="1:29" ht="12.75">
      <c r="A7">
        <v>6</v>
      </c>
      <c r="B7" s="1">
        <v>449.85</v>
      </c>
      <c r="C7" s="1">
        <v>483.87</v>
      </c>
      <c r="D7" s="1">
        <v>919.23</v>
      </c>
      <c r="E7" s="1">
        <v>1568.77</v>
      </c>
      <c r="F7" s="1">
        <v>2570.97</v>
      </c>
      <c r="G7" s="1">
        <v>3247.93</v>
      </c>
      <c r="H7">
        <v>4985</v>
      </c>
      <c r="I7">
        <v>6756</v>
      </c>
      <c r="J7">
        <v>7161</v>
      </c>
      <c r="K7">
        <v>8634</v>
      </c>
      <c r="L7">
        <v>10575</v>
      </c>
      <c r="M7">
        <v>14613</v>
      </c>
      <c r="N7">
        <v>15512</v>
      </c>
      <c r="O7">
        <v>18822</v>
      </c>
      <c r="P7" s="1">
        <v>446.42</v>
      </c>
      <c r="Q7" s="1">
        <v>479.53</v>
      </c>
      <c r="R7" s="1">
        <v>920.65</v>
      </c>
      <c r="S7" s="1">
        <v>1572.39</v>
      </c>
      <c r="T7" s="1">
        <v>2575.18</v>
      </c>
      <c r="U7" s="1">
        <v>3254.74</v>
      </c>
      <c r="V7">
        <v>4982</v>
      </c>
      <c r="W7">
        <v>6741</v>
      </c>
      <c r="X7">
        <v>7168</v>
      </c>
      <c r="Y7">
        <v>8712</v>
      </c>
      <c r="Z7">
        <v>10754</v>
      </c>
      <c r="AA7">
        <v>15014</v>
      </c>
      <c r="AB7">
        <v>15978</v>
      </c>
      <c r="AC7">
        <v>19481</v>
      </c>
    </row>
    <row r="8" spans="1:29" ht="12.75">
      <c r="A8">
        <v>7</v>
      </c>
      <c r="B8" s="1">
        <v>427.98</v>
      </c>
      <c r="C8" s="1">
        <v>460.35</v>
      </c>
      <c r="D8" s="1">
        <v>874.54</v>
      </c>
      <c r="E8" s="1">
        <v>1492.51</v>
      </c>
      <c r="F8" s="1">
        <v>2445.98</v>
      </c>
      <c r="G8" s="1">
        <v>3090.03</v>
      </c>
      <c r="H8">
        <v>4742</v>
      </c>
      <c r="I8">
        <v>6428</v>
      </c>
      <c r="J8">
        <v>6813</v>
      </c>
      <c r="K8">
        <v>8215</v>
      </c>
      <c r="L8">
        <v>10061</v>
      </c>
      <c r="M8">
        <v>13903</v>
      </c>
      <c r="N8">
        <v>14758</v>
      </c>
      <c r="O8">
        <v>17907</v>
      </c>
      <c r="P8" s="1">
        <v>428.97</v>
      </c>
      <c r="Q8" s="1">
        <v>460.79</v>
      </c>
      <c r="R8" s="1">
        <v>884.67</v>
      </c>
      <c r="S8" s="1">
        <v>1510.95</v>
      </c>
      <c r="T8" s="1">
        <v>2474.54</v>
      </c>
      <c r="U8" s="1">
        <v>3127.55</v>
      </c>
      <c r="V8">
        <v>4787</v>
      </c>
      <c r="W8">
        <v>6478</v>
      </c>
      <c r="X8">
        <v>6888</v>
      </c>
      <c r="Y8">
        <v>8372</v>
      </c>
      <c r="Z8">
        <v>10334</v>
      </c>
      <c r="AA8">
        <v>14427</v>
      </c>
      <c r="AB8">
        <v>15354</v>
      </c>
      <c r="AC8">
        <v>18719</v>
      </c>
    </row>
    <row r="9" spans="1:29" ht="12.75">
      <c r="A9">
        <v>8</v>
      </c>
      <c r="B9" s="1">
        <v>409.33</v>
      </c>
      <c r="C9" s="1">
        <v>440.28</v>
      </c>
      <c r="D9" s="1">
        <v>836.43</v>
      </c>
      <c r="E9" s="1">
        <v>1427.46</v>
      </c>
      <c r="F9" s="1">
        <v>2339.38</v>
      </c>
      <c r="G9" s="1">
        <v>2955.36</v>
      </c>
      <c r="H9">
        <v>4536</v>
      </c>
      <c r="I9">
        <v>6148</v>
      </c>
      <c r="J9">
        <v>6516</v>
      </c>
      <c r="K9">
        <v>7857</v>
      </c>
      <c r="L9">
        <v>9622</v>
      </c>
      <c r="M9">
        <v>13297</v>
      </c>
      <c r="N9">
        <v>14114</v>
      </c>
      <c r="O9">
        <v>17127</v>
      </c>
      <c r="P9" s="1">
        <v>413.95</v>
      </c>
      <c r="Q9" s="1">
        <v>444.66</v>
      </c>
      <c r="R9" s="1">
        <v>853.7</v>
      </c>
      <c r="S9" s="1">
        <v>1458.05</v>
      </c>
      <c r="T9" s="1">
        <v>2387.91</v>
      </c>
      <c r="U9" s="1">
        <v>3018.06</v>
      </c>
      <c r="V9">
        <v>4620</v>
      </c>
      <c r="W9">
        <v>6251</v>
      </c>
      <c r="X9">
        <v>6647</v>
      </c>
      <c r="Y9">
        <v>8079</v>
      </c>
      <c r="Z9">
        <v>9972</v>
      </c>
      <c r="AA9">
        <v>13922</v>
      </c>
      <c r="AB9">
        <v>14816</v>
      </c>
      <c r="AC9">
        <v>18064</v>
      </c>
    </row>
    <row r="10" spans="1:29" ht="12.75">
      <c r="A10">
        <v>9</v>
      </c>
      <c r="B10" s="1">
        <v>393.33</v>
      </c>
      <c r="C10" s="1">
        <v>423.08</v>
      </c>
      <c r="D10" s="1">
        <v>803.74</v>
      </c>
      <c r="E10" s="1">
        <v>1371.68</v>
      </c>
      <c r="F10" s="1">
        <v>2247.96</v>
      </c>
      <c r="G10" s="1">
        <v>2839.87</v>
      </c>
      <c r="H10">
        <v>4358</v>
      </c>
      <c r="I10">
        <v>5908</v>
      </c>
      <c r="J10">
        <v>6261</v>
      </c>
      <c r="K10">
        <v>7550</v>
      </c>
      <c r="L10">
        <v>9246</v>
      </c>
      <c r="M10">
        <v>12777</v>
      </c>
      <c r="N10">
        <v>13563</v>
      </c>
      <c r="O10">
        <v>16457</v>
      </c>
      <c r="P10" s="1">
        <v>401</v>
      </c>
      <c r="Q10" s="1">
        <v>430.75</v>
      </c>
      <c r="R10" s="1">
        <v>826.99</v>
      </c>
      <c r="S10" s="1">
        <v>1412.42</v>
      </c>
      <c r="T10" s="1">
        <v>2313.18</v>
      </c>
      <c r="U10" s="1">
        <v>2923.61</v>
      </c>
      <c r="V10">
        <v>4475</v>
      </c>
      <c r="W10">
        <v>6055</v>
      </c>
      <c r="X10">
        <v>6439</v>
      </c>
      <c r="Y10">
        <v>7826</v>
      </c>
      <c r="Z10">
        <v>9660</v>
      </c>
      <c r="AA10">
        <v>13486</v>
      </c>
      <c r="AB10">
        <v>14353</v>
      </c>
      <c r="AC10">
        <v>17499</v>
      </c>
    </row>
    <row r="11" spans="1:29" ht="12.75">
      <c r="A11">
        <v>10</v>
      </c>
      <c r="B11" s="1">
        <v>379.56</v>
      </c>
      <c r="C11" s="1">
        <v>408.27</v>
      </c>
      <c r="D11" s="1">
        <v>775.6</v>
      </c>
      <c r="E11" s="1">
        <v>1323.66</v>
      </c>
      <c r="F11" s="1">
        <v>2169.27</v>
      </c>
      <c r="G11" s="1">
        <v>2740.45</v>
      </c>
      <c r="H11">
        <v>4206</v>
      </c>
      <c r="I11">
        <v>5701</v>
      </c>
      <c r="J11">
        <v>6042</v>
      </c>
      <c r="K11">
        <v>7285</v>
      </c>
      <c r="L11">
        <v>8923</v>
      </c>
      <c r="M11">
        <v>12330</v>
      </c>
      <c r="N11">
        <v>13088</v>
      </c>
      <c r="O11">
        <v>15881</v>
      </c>
      <c r="P11" s="1">
        <v>389.82</v>
      </c>
      <c r="Q11" s="1">
        <v>418.74</v>
      </c>
      <c r="R11" s="1">
        <v>803.93</v>
      </c>
      <c r="S11" s="1">
        <v>1373.05</v>
      </c>
      <c r="T11" s="1">
        <v>2248.7</v>
      </c>
      <c r="U11" s="1">
        <v>2842.11</v>
      </c>
      <c r="V11">
        <v>4350</v>
      </c>
      <c r="W11">
        <v>5887</v>
      </c>
      <c r="X11">
        <v>6259</v>
      </c>
      <c r="Y11">
        <v>7608</v>
      </c>
      <c r="Z11">
        <v>9390</v>
      </c>
      <c r="AA11">
        <v>13110</v>
      </c>
      <c r="AB11">
        <v>13953</v>
      </c>
      <c r="AC11">
        <v>17011</v>
      </c>
    </row>
    <row r="12" spans="1:29" ht="12.75">
      <c r="A12">
        <v>11</v>
      </c>
      <c r="B12" s="1">
        <v>367.68</v>
      </c>
      <c r="C12" s="1">
        <v>395.49</v>
      </c>
      <c r="D12" s="1">
        <v>751.33</v>
      </c>
      <c r="E12" s="1">
        <v>1282.23</v>
      </c>
      <c r="F12" s="1">
        <v>2101.38</v>
      </c>
      <c r="G12" s="1">
        <v>2654.69</v>
      </c>
      <c r="H12">
        <v>4074</v>
      </c>
      <c r="I12">
        <v>5522</v>
      </c>
      <c r="J12">
        <v>5853</v>
      </c>
      <c r="K12">
        <v>7057</v>
      </c>
      <c r="L12">
        <v>8644</v>
      </c>
      <c r="M12">
        <v>11944</v>
      </c>
      <c r="N12">
        <v>12678</v>
      </c>
      <c r="O12">
        <v>15384</v>
      </c>
      <c r="P12" s="1">
        <v>380.19</v>
      </c>
      <c r="Q12" s="1">
        <v>408.39</v>
      </c>
      <c r="R12" s="1">
        <v>784.07</v>
      </c>
      <c r="S12" s="1">
        <v>1339.12</v>
      </c>
      <c r="T12" s="1">
        <v>2193.14</v>
      </c>
      <c r="U12" s="1">
        <v>2771.89</v>
      </c>
      <c r="V12">
        <v>4243</v>
      </c>
      <c r="W12">
        <v>5741</v>
      </c>
      <c r="X12">
        <v>6104</v>
      </c>
      <c r="Y12">
        <v>7420</v>
      </c>
      <c r="Z12">
        <v>9158</v>
      </c>
      <c r="AA12">
        <v>12787</v>
      </c>
      <c r="AB12">
        <v>13608</v>
      </c>
      <c r="AC12">
        <v>16591</v>
      </c>
    </row>
    <row r="13" spans="1:29" ht="12.75">
      <c r="A13">
        <v>12</v>
      </c>
      <c r="B13" s="1">
        <v>357.43</v>
      </c>
      <c r="C13" s="1">
        <v>384.47</v>
      </c>
      <c r="D13" s="1">
        <v>730.39</v>
      </c>
      <c r="E13" s="1">
        <v>1246.49</v>
      </c>
      <c r="F13" s="1">
        <v>2042.8</v>
      </c>
      <c r="G13" s="1">
        <v>2580.68</v>
      </c>
      <c r="H13">
        <v>3961</v>
      </c>
      <c r="I13">
        <v>5368</v>
      </c>
      <c r="J13">
        <v>5690</v>
      </c>
      <c r="K13">
        <v>6861</v>
      </c>
      <c r="L13">
        <v>8403</v>
      </c>
      <c r="M13">
        <v>11611</v>
      </c>
      <c r="N13">
        <v>12325</v>
      </c>
      <c r="O13">
        <v>14955</v>
      </c>
      <c r="P13" s="1">
        <v>371.92</v>
      </c>
      <c r="Q13" s="1">
        <v>399.51</v>
      </c>
      <c r="R13" s="1">
        <v>767.02</v>
      </c>
      <c r="S13" s="1">
        <v>1310.01</v>
      </c>
      <c r="T13" s="1">
        <v>2145.46</v>
      </c>
      <c r="U13" s="1">
        <v>2711.62</v>
      </c>
      <c r="V13">
        <v>4151</v>
      </c>
      <c r="W13">
        <v>5616</v>
      </c>
      <c r="X13">
        <v>5972</v>
      </c>
      <c r="Y13">
        <v>7259</v>
      </c>
      <c r="Z13">
        <v>8959</v>
      </c>
      <c r="AA13">
        <v>12509</v>
      </c>
      <c r="AB13">
        <v>13312</v>
      </c>
      <c r="AC13">
        <v>16230</v>
      </c>
    </row>
    <row r="14" spans="1:29" ht="12.75">
      <c r="A14">
        <v>13</v>
      </c>
      <c r="B14" s="1">
        <v>348.6</v>
      </c>
      <c r="C14" s="1">
        <v>374.97</v>
      </c>
      <c r="D14" s="1">
        <v>712.34</v>
      </c>
      <c r="E14" s="1">
        <v>1215.69</v>
      </c>
      <c r="F14" s="1">
        <v>1992.33</v>
      </c>
      <c r="G14" s="1">
        <v>2516.92</v>
      </c>
      <c r="H14">
        <v>3863</v>
      </c>
      <c r="I14">
        <v>5236</v>
      </c>
      <c r="J14">
        <v>5549</v>
      </c>
      <c r="K14">
        <v>6691</v>
      </c>
      <c r="L14">
        <v>8195</v>
      </c>
      <c r="M14">
        <v>11324</v>
      </c>
      <c r="N14">
        <v>12021</v>
      </c>
      <c r="O14">
        <v>14586</v>
      </c>
      <c r="P14" s="1">
        <v>364.88</v>
      </c>
      <c r="Q14" s="1">
        <v>391.94</v>
      </c>
      <c r="R14" s="1">
        <v>752.49</v>
      </c>
      <c r="S14" s="1">
        <v>1285.19</v>
      </c>
      <c r="T14" s="1">
        <v>2104.81</v>
      </c>
      <c r="U14" s="1">
        <v>2660.24</v>
      </c>
      <c r="V14">
        <v>4072</v>
      </c>
      <c r="W14">
        <v>5510</v>
      </c>
      <c r="X14">
        <v>5859</v>
      </c>
      <c r="Y14">
        <v>7121</v>
      </c>
      <c r="Z14">
        <v>8790</v>
      </c>
      <c r="AA14">
        <v>12272</v>
      </c>
      <c r="AB14">
        <v>13060</v>
      </c>
      <c r="AC14">
        <v>15922</v>
      </c>
    </row>
    <row r="15" spans="1:29" ht="12.75">
      <c r="A15">
        <v>14</v>
      </c>
      <c r="B15" s="1">
        <v>341.02</v>
      </c>
      <c r="C15" s="1">
        <v>366.81</v>
      </c>
      <c r="D15" s="1">
        <v>696.85</v>
      </c>
      <c r="E15" s="1">
        <v>1189.26</v>
      </c>
      <c r="F15" s="1">
        <v>1949.01</v>
      </c>
      <c r="G15" s="1">
        <v>2462.2</v>
      </c>
      <c r="H15">
        <v>3779</v>
      </c>
      <c r="I15">
        <v>5122</v>
      </c>
      <c r="J15">
        <v>5429</v>
      </c>
      <c r="K15">
        <v>6546</v>
      </c>
      <c r="L15">
        <v>8017</v>
      </c>
      <c r="M15">
        <v>11078</v>
      </c>
      <c r="N15">
        <v>11759</v>
      </c>
      <c r="O15">
        <v>14269</v>
      </c>
      <c r="P15" s="1">
        <v>358.93</v>
      </c>
      <c r="Q15" s="1">
        <v>385.56</v>
      </c>
      <c r="R15" s="1">
        <v>740.23</v>
      </c>
      <c r="S15" s="1">
        <v>1264.25</v>
      </c>
      <c r="T15" s="1">
        <v>2070.51</v>
      </c>
      <c r="U15" s="1">
        <v>2616.89</v>
      </c>
      <c r="V15">
        <v>4006</v>
      </c>
      <c r="W15">
        <v>5420</v>
      </c>
      <c r="X15">
        <v>5763</v>
      </c>
      <c r="Y15">
        <v>7005</v>
      </c>
      <c r="Z15">
        <v>8646</v>
      </c>
      <c r="AA15">
        <v>12072</v>
      </c>
      <c r="AB15">
        <v>12847</v>
      </c>
      <c r="AC15">
        <v>15663</v>
      </c>
    </row>
    <row r="16" spans="1:29" ht="12.75">
      <c r="A16">
        <v>15</v>
      </c>
      <c r="B16" s="1">
        <v>334.56</v>
      </c>
      <c r="C16" s="1">
        <v>359.86</v>
      </c>
      <c r="D16" s="1">
        <v>683.65</v>
      </c>
      <c r="E16" s="1">
        <v>1166.73</v>
      </c>
      <c r="F16" s="1">
        <v>1912.08</v>
      </c>
      <c r="G16" s="1">
        <v>2415.55</v>
      </c>
      <c r="H16">
        <v>3707</v>
      </c>
      <c r="I16">
        <v>5025</v>
      </c>
      <c r="J16">
        <v>5326</v>
      </c>
      <c r="K16">
        <v>6422</v>
      </c>
      <c r="L16">
        <v>7865</v>
      </c>
      <c r="M16">
        <v>10868</v>
      </c>
      <c r="N16">
        <v>11536</v>
      </c>
      <c r="O16">
        <v>13998</v>
      </c>
      <c r="P16" s="1">
        <v>353.99</v>
      </c>
      <c r="Q16" s="1">
        <v>380.25</v>
      </c>
      <c r="R16" s="1">
        <v>730.04</v>
      </c>
      <c r="S16" s="1">
        <v>1246.85</v>
      </c>
      <c r="T16" s="1">
        <v>2042.02</v>
      </c>
      <c r="U16" s="1">
        <v>2580.88</v>
      </c>
      <c r="V16">
        <v>3951</v>
      </c>
      <c r="W16">
        <v>5346</v>
      </c>
      <c r="X16">
        <v>5684</v>
      </c>
      <c r="Y16">
        <v>6909</v>
      </c>
      <c r="Z16">
        <v>8527</v>
      </c>
      <c r="AA16">
        <v>11905</v>
      </c>
      <c r="AB16">
        <v>12670</v>
      </c>
      <c r="AC16">
        <v>15447</v>
      </c>
    </row>
    <row r="17" spans="1:29" ht="12.75">
      <c r="A17">
        <v>16</v>
      </c>
      <c r="B17" s="1">
        <v>329.11</v>
      </c>
      <c r="C17" s="1">
        <v>354</v>
      </c>
      <c r="D17" s="1">
        <v>672.51</v>
      </c>
      <c r="E17" s="1">
        <v>1147.72</v>
      </c>
      <c r="F17" s="1">
        <v>1880.92</v>
      </c>
      <c r="G17" s="1">
        <v>2376.18</v>
      </c>
      <c r="H17">
        <v>3647</v>
      </c>
      <c r="I17">
        <v>4943</v>
      </c>
      <c r="J17">
        <v>5239</v>
      </c>
      <c r="K17">
        <v>6317</v>
      </c>
      <c r="L17">
        <v>7737</v>
      </c>
      <c r="M17">
        <v>10691</v>
      </c>
      <c r="N17">
        <v>11348</v>
      </c>
      <c r="O17">
        <v>13770</v>
      </c>
      <c r="P17" s="1">
        <v>349.59</v>
      </c>
      <c r="Q17" s="1">
        <v>375.52</v>
      </c>
      <c r="R17" s="1">
        <v>720.95</v>
      </c>
      <c r="S17" s="1">
        <v>1231.33</v>
      </c>
      <c r="T17" s="1">
        <v>2016.6</v>
      </c>
      <c r="U17" s="1">
        <v>2548.76</v>
      </c>
      <c r="V17">
        <v>3901</v>
      </c>
      <c r="W17">
        <v>5279</v>
      </c>
      <c r="X17">
        <v>5613</v>
      </c>
      <c r="Y17">
        <v>6823</v>
      </c>
      <c r="Z17">
        <v>8421</v>
      </c>
      <c r="AA17">
        <v>11757</v>
      </c>
      <c r="AB17">
        <v>12512</v>
      </c>
      <c r="AC17">
        <v>15255</v>
      </c>
    </row>
    <row r="18" spans="1:29" ht="12.75">
      <c r="A18">
        <v>17</v>
      </c>
      <c r="B18" s="1">
        <v>324.58</v>
      </c>
      <c r="C18" s="1">
        <v>349.13</v>
      </c>
      <c r="D18" s="1">
        <v>663.26</v>
      </c>
      <c r="E18" s="1">
        <v>1131.92</v>
      </c>
      <c r="F18" s="1">
        <v>1855.04</v>
      </c>
      <c r="G18" s="1">
        <v>2343.49</v>
      </c>
      <c r="H18">
        <v>3597</v>
      </c>
      <c r="I18">
        <v>4875</v>
      </c>
      <c r="J18">
        <v>5167</v>
      </c>
      <c r="K18">
        <v>6230</v>
      </c>
      <c r="L18">
        <v>7630</v>
      </c>
      <c r="M18">
        <v>10544</v>
      </c>
      <c r="N18">
        <v>11192</v>
      </c>
      <c r="O18">
        <v>13581</v>
      </c>
      <c r="P18" s="1">
        <v>345.29</v>
      </c>
      <c r="Q18" s="1">
        <v>370.9</v>
      </c>
      <c r="R18" s="1">
        <v>712.09</v>
      </c>
      <c r="S18" s="1">
        <v>1216.19</v>
      </c>
      <c r="T18" s="1">
        <v>1991.8</v>
      </c>
      <c r="U18" s="1">
        <v>2517.42</v>
      </c>
      <c r="V18">
        <v>3853</v>
      </c>
      <c r="W18">
        <v>5214</v>
      </c>
      <c r="X18">
        <v>5544</v>
      </c>
      <c r="Y18">
        <v>6739</v>
      </c>
      <c r="Z18">
        <v>8318</v>
      </c>
      <c r="AA18">
        <v>11613</v>
      </c>
      <c r="AB18">
        <v>12359</v>
      </c>
      <c r="AC18">
        <v>15068</v>
      </c>
    </row>
    <row r="19" spans="1:29" ht="12.75">
      <c r="A19">
        <v>18</v>
      </c>
      <c r="B19" s="1">
        <v>320.54</v>
      </c>
      <c r="C19" s="1">
        <v>344.78</v>
      </c>
      <c r="D19" s="1">
        <v>655</v>
      </c>
      <c r="E19" s="1">
        <v>1117.83</v>
      </c>
      <c r="F19" s="1">
        <v>1831.95</v>
      </c>
      <c r="G19" s="1">
        <v>2314.32</v>
      </c>
      <c r="H19">
        <v>3552</v>
      </c>
      <c r="I19">
        <v>4814</v>
      </c>
      <c r="J19">
        <v>5103</v>
      </c>
      <c r="K19">
        <v>6152</v>
      </c>
      <c r="L19">
        <v>7535</v>
      </c>
      <c r="M19">
        <v>10413</v>
      </c>
      <c r="N19">
        <v>11053</v>
      </c>
      <c r="O19">
        <v>13412</v>
      </c>
      <c r="P19" s="1">
        <v>341.09</v>
      </c>
      <c r="Q19" s="1">
        <v>366.4</v>
      </c>
      <c r="R19" s="1">
        <v>703.44</v>
      </c>
      <c r="S19" s="1">
        <v>1201.42</v>
      </c>
      <c r="T19" s="1">
        <v>1967.61</v>
      </c>
      <c r="U19" s="1">
        <v>2486.84</v>
      </c>
      <c r="V19">
        <v>3807</v>
      </c>
      <c r="W19">
        <v>5151</v>
      </c>
      <c r="X19">
        <v>5477</v>
      </c>
      <c r="Y19">
        <v>6657</v>
      </c>
      <c r="Z19">
        <v>8217</v>
      </c>
      <c r="AA19">
        <v>11472</v>
      </c>
      <c r="AB19">
        <v>12209</v>
      </c>
      <c r="AC19">
        <v>14885</v>
      </c>
    </row>
    <row r="20" spans="1:29" ht="12.75">
      <c r="A20">
        <v>19</v>
      </c>
      <c r="B20" s="1">
        <v>316.6</v>
      </c>
      <c r="C20" s="1">
        <v>340.54</v>
      </c>
      <c r="D20" s="1">
        <v>646.95</v>
      </c>
      <c r="E20" s="1">
        <v>1104.09</v>
      </c>
      <c r="F20" s="1">
        <v>1809.43</v>
      </c>
      <c r="G20" s="1">
        <v>2285.86</v>
      </c>
      <c r="H20">
        <v>3508</v>
      </c>
      <c r="I20">
        <v>4755</v>
      </c>
      <c r="J20">
        <v>5040</v>
      </c>
      <c r="K20">
        <v>6077</v>
      </c>
      <c r="L20">
        <v>7443</v>
      </c>
      <c r="M20">
        <v>10285</v>
      </c>
      <c r="N20">
        <v>10917</v>
      </c>
      <c r="O20">
        <v>13247</v>
      </c>
      <c r="P20" s="1">
        <v>337</v>
      </c>
      <c r="Q20" s="1">
        <v>362</v>
      </c>
      <c r="R20" s="1">
        <v>695</v>
      </c>
      <c r="S20" s="1">
        <v>1187</v>
      </c>
      <c r="T20" s="1">
        <v>1944</v>
      </c>
      <c r="U20" s="1">
        <v>2457</v>
      </c>
      <c r="V20">
        <v>3761</v>
      </c>
      <c r="W20">
        <v>5089</v>
      </c>
      <c r="X20">
        <v>5411</v>
      </c>
      <c r="Y20">
        <v>6577</v>
      </c>
      <c r="Z20">
        <v>8118</v>
      </c>
      <c r="AA20">
        <v>11334</v>
      </c>
      <c r="AB20">
        <v>12062</v>
      </c>
      <c r="AC20">
        <v>14706</v>
      </c>
    </row>
    <row r="21" spans="1:29" ht="12.75">
      <c r="A21">
        <v>20</v>
      </c>
      <c r="B21" s="1">
        <v>312.75</v>
      </c>
      <c r="C21" s="1">
        <v>336.41</v>
      </c>
      <c r="D21" s="1">
        <v>639.09</v>
      </c>
      <c r="E21" s="1">
        <v>1090.68</v>
      </c>
      <c r="F21" s="1">
        <v>1787.45</v>
      </c>
      <c r="G21" s="1">
        <v>2258.1</v>
      </c>
      <c r="H21">
        <v>3466</v>
      </c>
      <c r="I21">
        <v>4697</v>
      </c>
      <c r="J21">
        <v>4979</v>
      </c>
      <c r="K21">
        <v>6003</v>
      </c>
      <c r="L21">
        <v>7352</v>
      </c>
      <c r="M21">
        <v>10160</v>
      </c>
      <c r="N21">
        <v>10784</v>
      </c>
      <c r="O21">
        <v>13086</v>
      </c>
      <c r="P21" s="1">
        <v>337</v>
      </c>
      <c r="Q21" s="1">
        <v>362</v>
      </c>
      <c r="R21" s="1">
        <v>695</v>
      </c>
      <c r="S21" s="1">
        <v>1187</v>
      </c>
      <c r="T21" s="1">
        <v>1944</v>
      </c>
      <c r="U21" s="1">
        <v>2457</v>
      </c>
      <c r="V21">
        <v>3761</v>
      </c>
      <c r="W21">
        <v>5089</v>
      </c>
      <c r="X21">
        <v>5411</v>
      </c>
      <c r="Y21">
        <v>6577</v>
      </c>
      <c r="Z21">
        <v>8118</v>
      </c>
      <c r="AA21">
        <v>11334</v>
      </c>
      <c r="AB21">
        <v>12062</v>
      </c>
      <c r="AC21">
        <v>14706</v>
      </c>
    </row>
    <row r="22" spans="1:29" ht="12.75">
      <c r="A22">
        <v>21</v>
      </c>
      <c r="B22" s="1">
        <v>309</v>
      </c>
      <c r="C22" s="1">
        <v>332.37</v>
      </c>
      <c r="D22" s="1">
        <v>631.42</v>
      </c>
      <c r="E22" s="1">
        <v>1077.59</v>
      </c>
      <c r="F22" s="1">
        <v>1766</v>
      </c>
      <c r="G22" s="1">
        <v>2231</v>
      </c>
      <c r="H22">
        <v>3424</v>
      </c>
      <c r="I22">
        <v>4641</v>
      </c>
      <c r="J22">
        <v>4919</v>
      </c>
      <c r="K22">
        <v>5931</v>
      </c>
      <c r="L22">
        <v>7264</v>
      </c>
      <c r="M22">
        <v>10038</v>
      </c>
      <c r="N22">
        <v>10655</v>
      </c>
      <c r="O22">
        <v>12929</v>
      </c>
      <c r="P22" s="1">
        <v>337</v>
      </c>
      <c r="Q22" s="1">
        <v>362</v>
      </c>
      <c r="R22" s="1">
        <v>695</v>
      </c>
      <c r="S22" s="1">
        <v>1187</v>
      </c>
      <c r="T22" s="1">
        <v>1944</v>
      </c>
      <c r="U22" s="1">
        <v>2457</v>
      </c>
      <c r="V22">
        <v>3761</v>
      </c>
      <c r="W22">
        <v>5089</v>
      </c>
      <c r="X22">
        <v>5411</v>
      </c>
      <c r="Y22">
        <v>6577</v>
      </c>
      <c r="Z22">
        <v>8118</v>
      </c>
      <c r="AA22">
        <v>11334</v>
      </c>
      <c r="AB22">
        <v>12062</v>
      </c>
      <c r="AC22">
        <v>14706</v>
      </c>
    </row>
    <row r="23" spans="1:29" ht="12.75">
      <c r="A23">
        <v>22</v>
      </c>
      <c r="B23" s="1">
        <v>309</v>
      </c>
      <c r="C23" s="1">
        <v>332.37</v>
      </c>
      <c r="D23" s="1">
        <v>631.42</v>
      </c>
      <c r="E23" s="1">
        <v>1077.59</v>
      </c>
      <c r="F23" s="1">
        <v>1766</v>
      </c>
      <c r="G23" s="1">
        <v>2231</v>
      </c>
      <c r="H23">
        <v>3424</v>
      </c>
      <c r="I23">
        <v>4641</v>
      </c>
      <c r="J23">
        <v>4919</v>
      </c>
      <c r="K23">
        <v>5931</v>
      </c>
      <c r="L23">
        <v>7264</v>
      </c>
      <c r="M23">
        <v>10038</v>
      </c>
      <c r="N23">
        <v>10655</v>
      </c>
      <c r="O23">
        <v>12929</v>
      </c>
      <c r="P23" s="1">
        <v>337</v>
      </c>
      <c r="Q23" s="1">
        <v>362</v>
      </c>
      <c r="R23" s="1">
        <v>695</v>
      </c>
      <c r="S23" s="1">
        <v>1187</v>
      </c>
      <c r="T23" s="1">
        <v>1944</v>
      </c>
      <c r="U23" s="1">
        <v>2457</v>
      </c>
      <c r="V23">
        <v>3761</v>
      </c>
      <c r="W23">
        <v>5089</v>
      </c>
      <c r="X23">
        <v>5411</v>
      </c>
      <c r="Y23">
        <v>6577</v>
      </c>
      <c r="Z23">
        <v>8118</v>
      </c>
      <c r="AA23">
        <v>11334</v>
      </c>
      <c r="AB23">
        <v>12062</v>
      </c>
      <c r="AC23">
        <v>14706</v>
      </c>
    </row>
    <row r="24" spans="1:29" ht="12.75">
      <c r="A24">
        <v>23</v>
      </c>
      <c r="B24" s="1">
        <v>309</v>
      </c>
      <c r="C24" s="1">
        <v>332.37</v>
      </c>
      <c r="D24" s="1">
        <v>631.42</v>
      </c>
      <c r="E24" s="1">
        <v>1077.59</v>
      </c>
      <c r="F24" s="1">
        <v>1766</v>
      </c>
      <c r="G24" s="1">
        <v>2231</v>
      </c>
      <c r="H24">
        <v>3424</v>
      </c>
      <c r="I24">
        <v>4641</v>
      </c>
      <c r="J24">
        <v>4919</v>
      </c>
      <c r="K24">
        <v>5931</v>
      </c>
      <c r="L24">
        <v>7264</v>
      </c>
      <c r="M24">
        <v>10038</v>
      </c>
      <c r="N24">
        <v>10655</v>
      </c>
      <c r="O24">
        <v>12929</v>
      </c>
      <c r="P24" s="1">
        <v>337</v>
      </c>
      <c r="Q24" s="1">
        <v>362</v>
      </c>
      <c r="R24" s="1">
        <v>695</v>
      </c>
      <c r="S24" s="1">
        <v>1187</v>
      </c>
      <c r="T24" s="1">
        <v>1944</v>
      </c>
      <c r="U24" s="1">
        <v>2457</v>
      </c>
      <c r="V24">
        <v>3761</v>
      </c>
      <c r="W24">
        <v>5089</v>
      </c>
      <c r="X24">
        <v>5411</v>
      </c>
      <c r="Y24">
        <v>6577</v>
      </c>
      <c r="Z24">
        <v>8118</v>
      </c>
      <c r="AA24">
        <v>11334</v>
      </c>
      <c r="AB24">
        <v>12062</v>
      </c>
      <c r="AC24">
        <v>14706</v>
      </c>
    </row>
    <row r="25" spans="1:29" ht="12.75">
      <c r="A25">
        <v>24</v>
      </c>
      <c r="B25" s="1">
        <v>309</v>
      </c>
      <c r="C25" s="1">
        <v>332.37</v>
      </c>
      <c r="D25" s="1">
        <v>631.42</v>
      </c>
      <c r="E25" s="1">
        <v>1077.59</v>
      </c>
      <c r="F25" s="1">
        <v>1766</v>
      </c>
      <c r="G25" s="1">
        <v>2231</v>
      </c>
      <c r="H25">
        <v>3424</v>
      </c>
      <c r="I25">
        <v>4641</v>
      </c>
      <c r="J25">
        <v>4919</v>
      </c>
      <c r="K25">
        <v>5931</v>
      </c>
      <c r="L25">
        <v>7264</v>
      </c>
      <c r="M25">
        <v>10038</v>
      </c>
      <c r="N25">
        <v>10655</v>
      </c>
      <c r="O25">
        <v>12929</v>
      </c>
      <c r="P25" s="1">
        <v>337</v>
      </c>
      <c r="Q25" s="1">
        <v>362</v>
      </c>
      <c r="R25" s="1">
        <v>695</v>
      </c>
      <c r="S25" s="1">
        <v>1187</v>
      </c>
      <c r="T25" s="1">
        <v>1944</v>
      </c>
      <c r="U25" s="1">
        <v>2457</v>
      </c>
      <c r="V25">
        <v>3761</v>
      </c>
      <c r="W25">
        <v>5089</v>
      </c>
      <c r="X25">
        <v>5411</v>
      </c>
      <c r="Y25">
        <v>6577</v>
      </c>
      <c r="Z25">
        <v>8118</v>
      </c>
      <c r="AA25">
        <v>11334</v>
      </c>
      <c r="AB25">
        <v>12062</v>
      </c>
      <c r="AC25">
        <v>14706</v>
      </c>
    </row>
    <row r="26" spans="1:29" ht="12.75">
      <c r="A26">
        <v>25</v>
      </c>
      <c r="B26" s="1">
        <v>309</v>
      </c>
      <c r="C26" s="1">
        <v>332.37</v>
      </c>
      <c r="D26" s="1">
        <v>631.42</v>
      </c>
      <c r="E26" s="1">
        <v>1077.59</v>
      </c>
      <c r="F26" s="1">
        <v>1766</v>
      </c>
      <c r="G26" s="1">
        <v>2231</v>
      </c>
      <c r="H26">
        <v>3424</v>
      </c>
      <c r="I26">
        <v>4641</v>
      </c>
      <c r="J26">
        <v>4919</v>
      </c>
      <c r="K26">
        <v>5931</v>
      </c>
      <c r="L26">
        <v>7264</v>
      </c>
      <c r="M26">
        <v>10038</v>
      </c>
      <c r="N26">
        <v>10655</v>
      </c>
      <c r="O26">
        <v>12929</v>
      </c>
      <c r="P26" s="1">
        <v>337</v>
      </c>
      <c r="Q26" s="1">
        <v>362</v>
      </c>
      <c r="R26" s="1">
        <v>695</v>
      </c>
      <c r="S26" s="1">
        <v>1187</v>
      </c>
      <c r="T26" s="1">
        <v>1944</v>
      </c>
      <c r="U26" s="1">
        <v>2457</v>
      </c>
      <c r="V26">
        <v>3761</v>
      </c>
      <c r="W26">
        <v>5089</v>
      </c>
      <c r="X26">
        <v>5411</v>
      </c>
      <c r="Y26">
        <v>6577</v>
      </c>
      <c r="Z26">
        <v>8118</v>
      </c>
      <c r="AA26">
        <v>11334</v>
      </c>
      <c r="AB26">
        <v>12062</v>
      </c>
      <c r="AC26">
        <v>14706</v>
      </c>
    </row>
    <row r="27" spans="1:29" ht="12.75">
      <c r="A27">
        <v>26</v>
      </c>
      <c r="B27" s="1">
        <v>309</v>
      </c>
      <c r="C27" s="1">
        <v>332.37</v>
      </c>
      <c r="D27" s="1">
        <v>631.42</v>
      </c>
      <c r="E27" s="1">
        <v>1077.59</v>
      </c>
      <c r="F27" s="1">
        <v>1766</v>
      </c>
      <c r="G27" s="1">
        <v>2231</v>
      </c>
      <c r="H27">
        <v>3424</v>
      </c>
      <c r="I27">
        <v>4641</v>
      </c>
      <c r="J27">
        <v>4919</v>
      </c>
      <c r="K27">
        <v>5931</v>
      </c>
      <c r="L27">
        <v>7264</v>
      </c>
      <c r="M27">
        <v>10038</v>
      </c>
      <c r="N27">
        <v>10655</v>
      </c>
      <c r="O27">
        <v>12929</v>
      </c>
      <c r="P27" s="1">
        <v>337</v>
      </c>
      <c r="Q27" s="1">
        <v>362</v>
      </c>
      <c r="R27" s="1">
        <v>695</v>
      </c>
      <c r="S27" s="1">
        <v>1187</v>
      </c>
      <c r="T27" s="1">
        <v>1944</v>
      </c>
      <c r="U27" s="1">
        <v>2457</v>
      </c>
      <c r="V27">
        <v>3761</v>
      </c>
      <c r="W27">
        <v>5089</v>
      </c>
      <c r="X27">
        <v>5411</v>
      </c>
      <c r="Y27">
        <v>6577</v>
      </c>
      <c r="Z27">
        <v>8118</v>
      </c>
      <c r="AA27">
        <v>11334</v>
      </c>
      <c r="AB27">
        <v>12062</v>
      </c>
      <c r="AC27">
        <v>14706</v>
      </c>
    </row>
    <row r="28" spans="1:29" ht="12.75">
      <c r="A28">
        <v>27</v>
      </c>
      <c r="B28" s="1">
        <v>309</v>
      </c>
      <c r="C28" s="1">
        <v>332.37</v>
      </c>
      <c r="D28" s="1">
        <v>631.42</v>
      </c>
      <c r="E28" s="1">
        <v>1077.59</v>
      </c>
      <c r="F28" s="1">
        <v>1766</v>
      </c>
      <c r="G28" s="1">
        <v>2231</v>
      </c>
      <c r="H28">
        <v>3424</v>
      </c>
      <c r="I28">
        <v>4641</v>
      </c>
      <c r="J28">
        <v>4919</v>
      </c>
      <c r="K28">
        <v>5931</v>
      </c>
      <c r="L28">
        <v>7264</v>
      </c>
      <c r="M28">
        <v>10038</v>
      </c>
      <c r="N28">
        <v>10655</v>
      </c>
      <c r="O28">
        <v>12929</v>
      </c>
      <c r="P28" s="1">
        <v>337</v>
      </c>
      <c r="Q28" s="1">
        <v>362</v>
      </c>
      <c r="R28" s="1">
        <v>695</v>
      </c>
      <c r="S28" s="1">
        <v>1187</v>
      </c>
      <c r="T28" s="1">
        <v>1944</v>
      </c>
      <c r="U28" s="1">
        <v>2457</v>
      </c>
      <c r="V28">
        <v>3761</v>
      </c>
      <c r="W28">
        <v>5089</v>
      </c>
      <c r="X28">
        <v>5411</v>
      </c>
      <c r="Y28">
        <v>6577</v>
      </c>
      <c r="Z28">
        <v>8118</v>
      </c>
      <c r="AA28">
        <v>11334</v>
      </c>
      <c r="AB28">
        <v>12062</v>
      </c>
      <c r="AC28">
        <v>14706</v>
      </c>
    </row>
    <row r="29" spans="1:29" ht="12.75">
      <c r="A29">
        <v>28</v>
      </c>
      <c r="B29" s="1">
        <v>309.12</v>
      </c>
      <c r="C29" s="1">
        <v>332.5</v>
      </c>
      <c r="D29" s="1">
        <v>631.61</v>
      </c>
      <c r="E29" s="1">
        <v>1077.81</v>
      </c>
      <c r="F29" s="1">
        <v>1766</v>
      </c>
      <c r="G29" s="1">
        <v>2231</v>
      </c>
      <c r="H29">
        <v>3424</v>
      </c>
      <c r="I29">
        <v>4641</v>
      </c>
      <c r="J29">
        <v>4919</v>
      </c>
      <c r="K29">
        <v>5931</v>
      </c>
      <c r="L29">
        <v>7264</v>
      </c>
      <c r="M29">
        <v>10038</v>
      </c>
      <c r="N29">
        <v>10655</v>
      </c>
      <c r="O29">
        <v>12929</v>
      </c>
      <c r="P29" s="1">
        <v>337</v>
      </c>
      <c r="Q29" s="1">
        <v>362</v>
      </c>
      <c r="R29" s="1">
        <v>695</v>
      </c>
      <c r="S29" s="1">
        <v>1187</v>
      </c>
      <c r="T29" s="1">
        <v>1944</v>
      </c>
      <c r="U29" s="1">
        <v>2457</v>
      </c>
      <c r="V29">
        <v>3761</v>
      </c>
      <c r="W29">
        <v>5089</v>
      </c>
      <c r="X29">
        <v>5411</v>
      </c>
      <c r="Y29">
        <v>6577</v>
      </c>
      <c r="Z29">
        <v>8118</v>
      </c>
      <c r="AA29">
        <v>11334</v>
      </c>
      <c r="AB29">
        <v>12062</v>
      </c>
      <c r="AC29">
        <v>14706</v>
      </c>
    </row>
    <row r="30" spans="1:29" ht="12.75">
      <c r="A30">
        <v>29</v>
      </c>
      <c r="B30" s="1">
        <v>309.46</v>
      </c>
      <c r="C30" s="1">
        <v>332.87</v>
      </c>
      <c r="D30" s="1">
        <v>632.24</v>
      </c>
      <c r="E30" s="1">
        <v>1078.56</v>
      </c>
      <c r="F30" s="1">
        <v>1767.06</v>
      </c>
      <c r="G30" s="1">
        <v>2231.89</v>
      </c>
      <c r="H30">
        <v>3424</v>
      </c>
      <c r="I30">
        <v>4641</v>
      </c>
      <c r="J30">
        <v>4919</v>
      </c>
      <c r="K30">
        <v>5931</v>
      </c>
      <c r="L30">
        <v>7264</v>
      </c>
      <c r="M30">
        <v>10038</v>
      </c>
      <c r="N30">
        <v>10655</v>
      </c>
      <c r="O30">
        <v>12929</v>
      </c>
      <c r="P30" s="1">
        <v>337</v>
      </c>
      <c r="Q30" s="1">
        <v>362</v>
      </c>
      <c r="R30" s="1">
        <v>695</v>
      </c>
      <c r="S30" s="1">
        <v>1187</v>
      </c>
      <c r="T30" s="1">
        <v>1944</v>
      </c>
      <c r="U30" s="1">
        <v>2457</v>
      </c>
      <c r="V30">
        <v>3761</v>
      </c>
      <c r="W30">
        <v>5089</v>
      </c>
      <c r="X30">
        <v>5411</v>
      </c>
      <c r="Y30">
        <v>6577</v>
      </c>
      <c r="Z30">
        <v>8118</v>
      </c>
      <c r="AA30">
        <v>11334</v>
      </c>
      <c r="AB30">
        <v>12062</v>
      </c>
      <c r="AC30">
        <v>14706</v>
      </c>
    </row>
    <row r="31" spans="1:29" ht="12.75">
      <c r="A31">
        <v>30</v>
      </c>
      <c r="B31" s="1">
        <v>309.99</v>
      </c>
      <c r="C31" s="1">
        <v>333.44</v>
      </c>
      <c r="D31" s="1">
        <v>633.19</v>
      </c>
      <c r="E31" s="1">
        <v>1080.07</v>
      </c>
      <c r="F31" s="1">
        <v>1769.01</v>
      </c>
      <c r="G31" s="1">
        <v>2234.13</v>
      </c>
      <c r="H31">
        <v>3426</v>
      </c>
      <c r="I31">
        <v>4642</v>
      </c>
      <c r="J31">
        <v>4919</v>
      </c>
      <c r="K31">
        <v>5931</v>
      </c>
      <c r="L31">
        <v>7264</v>
      </c>
      <c r="M31">
        <v>10038</v>
      </c>
      <c r="N31">
        <v>10655</v>
      </c>
      <c r="O31">
        <v>12929</v>
      </c>
      <c r="P31" s="1">
        <v>337</v>
      </c>
      <c r="Q31" s="1">
        <v>362</v>
      </c>
      <c r="R31" s="1">
        <v>695</v>
      </c>
      <c r="S31" s="1">
        <v>1187</v>
      </c>
      <c r="T31" s="1">
        <v>1944</v>
      </c>
      <c r="U31" s="1">
        <v>2457</v>
      </c>
      <c r="V31">
        <v>3761</v>
      </c>
      <c r="W31">
        <v>5089</v>
      </c>
      <c r="X31">
        <v>5411</v>
      </c>
      <c r="Y31">
        <v>6577</v>
      </c>
      <c r="Z31">
        <v>8118</v>
      </c>
      <c r="AA31">
        <v>11334</v>
      </c>
      <c r="AB31">
        <v>12062</v>
      </c>
      <c r="AC31">
        <v>14706</v>
      </c>
    </row>
    <row r="32" spans="1:29" ht="12.75">
      <c r="A32">
        <v>31</v>
      </c>
      <c r="B32" s="1">
        <v>310.71</v>
      </c>
      <c r="C32" s="1">
        <v>334.21</v>
      </c>
      <c r="D32" s="1">
        <v>634.59</v>
      </c>
      <c r="E32" s="1">
        <v>1082.35</v>
      </c>
      <c r="F32" s="1">
        <v>1772.2</v>
      </c>
      <c r="G32" s="1">
        <v>2237.71</v>
      </c>
      <c r="H32">
        <v>3430</v>
      </c>
      <c r="I32">
        <v>4646</v>
      </c>
      <c r="J32">
        <v>4923</v>
      </c>
      <c r="K32">
        <v>5933</v>
      </c>
      <c r="L32">
        <v>7265</v>
      </c>
      <c r="M32">
        <v>10038</v>
      </c>
      <c r="N32">
        <v>10655</v>
      </c>
      <c r="O32">
        <v>12929</v>
      </c>
      <c r="P32" s="1">
        <v>337.13</v>
      </c>
      <c r="Q32" s="1">
        <v>362.14</v>
      </c>
      <c r="R32" s="1">
        <v>695.28</v>
      </c>
      <c r="S32" s="1">
        <v>1187.47</v>
      </c>
      <c r="T32" s="1">
        <v>1944.78</v>
      </c>
      <c r="U32" s="1">
        <v>2457.98</v>
      </c>
      <c r="V32">
        <v>3763</v>
      </c>
      <c r="W32">
        <v>5091</v>
      </c>
      <c r="X32">
        <v>5413</v>
      </c>
      <c r="Y32">
        <v>6580</v>
      </c>
      <c r="Z32">
        <v>8121</v>
      </c>
      <c r="AA32">
        <v>11339</v>
      </c>
      <c r="AB32">
        <v>12067</v>
      </c>
      <c r="AC32">
        <v>14712</v>
      </c>
    </row>
    <row r="33" spans="1:29" ht="12.75">
      <c r="A33">
        <v>32</v>
      </c>
      <c r="B33" s="1">
        <v>311.65</v>
      </c>
      <c r="C33" s="1">
        <v>335.19</v>
      </c>
      <c r="D33" s="1">
        <v>636.38</v>
      </c>
      <c r="E33" s="1">
        <v>1085.19</v>
      </c>
      <c r="F33" s="1">
        <v>1776.48</v>
      </c>
      <c r="G33" s="1">
        <v>2242.66</v>
      </c>
      <c r="H33">
        <v>3436</v>
      </c>
      <c r="I33">
        <v>4652</v>
      </c>
      <c r="J33">
        <v>4929</v>
      </c>
      <c r="K33">
        <v>5939</v>
      </c>
      <c r="L33">
        <v>7269</v>
      </c>
      <c r="M33">
        <v>10038</v>
      </c>
      <c r="N33">
        <v>10655</v>
      </c>
      <c r="O33">
        <v>12929</v>
      </c>
      <c r="P33" s="1">
        <v>337.51</v>
      </c>
      <c r="Q33" s="1">
        <v>362.54</v>
      </c>
      <c r="R33" s="1">
        <v>696.04</v>
      </c>
      <c r="S33" s="1">
        <v>1188.78</v>
      </c>
      <c r="T33" s="1">
        <v>1946.92</v>
      </c>
      <c r="U33" s="1">
        <v>2460.69</v>
      </c>
      <c r="V33">
        <v>3767</v>
      </c>
      <c r="W33">
        <v>5097</v>
      </c>
      <c r="X33">
        <v>5419</v>
      </c>
      <c r="Y33">
        <v>6587</v>
      </c>
      <c r="Z33">
        <v>8130</v>
      </c>
      <c r="AA33">
        <v>11351</v>
      </c>
      <c r="AB33">
        <v>12080</v>
      </c>
      <c r="AC33">
        <v>14728</v>
      </c>
    </row>
    <row r="34" spans="1:29" ht="12.75">
      <c r="A34">
        <v>33</v>
      </c>
      <c r="B34" s="1">
        <v>312.78</v>
      </c>
      <c r="C34" s="1">
        <v>336.41</v>
      </c>
      <c r="D34" s="1">
        <v>638.64</v>
      </c>
      <c r="E34" s="1">
        <v>1088.8</v>
      </c>
      <c r="F34" s="1">
        <v>1781.86</v>
      </c>
      <c r="G34" s="1">
        <v>2248.99</v>
      </c>
      <c r="H34">
        <v>3445</v>
      </c>
      <c r="I34">
        <v>4661</v>
      </c>
      <c r="J34">
        <v>4939</v>
      </c>
      <c r="K34">
        <v>5949</v>
      </c>
      <c r="L34">
        <v>7278</v>
      </c>
      <c r="M34">
        <v>10042</v>
      </c>
      <c r="N34">
        <v>10658</v>
      </c>
      <c r="O34">
        <v>12929</v>
      </c>
      <c r="P34" s="1">
        <v>338.15</v>
      </c>
      <c r="Q34" s="1">
        <v>363.23</v>
      </c>
      <c r="R34" s="1">
        <v>697.37</v>
      </c>
      <c r="S34" s="1">
        <v>1191.05</v>
      </c>
      <c r="T34" s="1">
        <v>1950.63</v>
      </c>
      <c r="U34" s="1">
        <v>2465.38</v>
      </c>
      <c r="V34">
        <v>3774</v>
      </c>
      <c r="W34">
        <v>5106</v>
      </c>
      <c r="X34">
        <v>5429</v>
      </c>
      <c r="Y34">
        <v>6599</v>
      </c>
      <c r="Z34">
        <v>8146</v>
      </c>
      <c r="AA34">
        <v>11373</v>
      </c>
      <c r="AB34">
        <v>12103</v>
      </c>
      <c r="AC34">
        <v>14756</v>
      </c>
    </row>
    <row r="35" spans="1:29" ht="12.75">
      <c r="A35">
        <v>34</v>
      </c>
      <c r="B35" s="1">
        <v>314.12</v>
      </c>
      <c r="C35" s="1">
        <v>337.84</v>
      </c>
      <c r="D35" s="1">
        <v>641.3</v>
      </c>
      <c r="E35" s="1">
        <v>1093.11</v>
      </c>
      <c r="F35" s="1">
        <v>1788.35</v>
      </c>
      <c r="G35" s="1">
        <v>2256.73</v>
      </c>
      <c r="H35">
        <v>3455</v>
      </c>
      <c r="I35">
        <v>4673</v>
      </c>
      <c r="J35">
        <v>4951</v>
      </c>
      <c r="K35">
        <v>5961</v>
      </c>
      <c r="L35">
        <v>7290</v>
      </c>
      <c r="M35">
        <v>10052</v>
      </c>
      <c r="N35">
        <v>10667</v>
      </c>
      <c r="O35">
        <v>12933</v>
      </c>
      <c r="P35" s="1">
        <v>339.03</v>
      </c>
      <c r="Q35" s="1">
        <v>364.19</v>
      </c>
      <c r="R35" s="1">
        <v>699.2</v>
      </c>
      <c r="S35" s="1">
        <v>1194.16</v>
      </c>
      <c r="T35" s="1">
        <v>1955.73</v>
      </c>
      <c r="U35" s="1">
        <v>2471.83</v>
      </c>
      <c r="V35">
        <v>3784</v>
      </c>
      <c r="W35">
        <v>5120</v>
      </c>
      <c r="X35">
        <v>5444</v>
      </c>
      <c r="Y35">
        <v>6617</v>
      </c>
      <c r="Z35">
        <v>8167</v>
      </c>
      <c r="AA35">
        <v>11402</v>
      </c>
      <c r="AB35">
        <v>12135</v>
      </c>
      <c r="AC35">
        <v>14795</v>
      </c>
    </row>
    <row r="36" spans="1:29" ht="12.75">
      <c r="A36">
        <v>35</v>
      </c>
      <c r="B36" s="1">
        <v>315.69</v>
      </c>
      <c r="C36" s="1">
        <v>339.53</v>
      </c>
      <c r="D36" s="1">
        <v>644.37</v>
      </c>
      <c r="E36" s="1">
        <v>1098.12</v>
      </c>
      <c r="F36" s="1">
        <v>1795.99</v>
      </c>
      <c r="G36" s="1">
        <v>2265.89</v>
      </c>
      <c r="H36">
        <v>3468</v>
      </c>
      <c r="I36">
        <v>4688</v>
      </c>
      <c r="J36">
        <v>4966</v>
      </c>
      <c r="K36">
        <v>5978</v>
      </c>
      <c r="L36">
        <v>7307</v>
      </c>
      <c r="M36">
        <v>10068</v>
      </c>
      <c r="N36">
        <v>10681</v>
      </c>
      <c r="O36">
        <v>12943</v>
      </c>
      <c r="P36" s="1">
        <v>340.2</v>
      </c>
      <c r="Q36" s="1">
        <v>365.44</v>
      </c>
      <c r="R36" s="1">
        <v>701.59</v>
      </c>
      <c r="S36" s="1">
        <v>1198.26</v>
      </c>
      <c r="T36" s="1">
        <v>1962.45</v>
      </c>
      <c r="U36" s="1">
        <v>2480.31</v>
      </c>
      <c r="V36">
        <v>3797</v>
      </c>
      <c r="W36">
        <v>5137</v>
      </c>
      <c r="X36">
        <v>5462</v>
      </c>
      <c r="Y36">
        <v>6639</v>
      </c>
      <c r="Z36">
        <v>8195</v>
      </c>
      <c r="AA36">
        <v>11442</v>
      </c>
      <c r="AB36">
        <v>12176</v>
      </c>
      <c r="AC36">
        <v>14846</v>
      </c>
    </row>
    <row r="37" spans="1:29" ht="12.75">
      <c r="A37">
        <v>36</v>
      </c>
      <c r="B37" s="1">
        <v>317.44</v>
      </c>
      <c r="C37" s="1">
        <v>341.42</v>
      </c>
      <c r="D37" s="1">
        <v>647.88</v>
      </c>
      <c r="E37" s="1">
        <v>1103.86</v>
      </c>
      <c r="F37" s="1">
        <v>1804.8</v>
      </c>
      <c r="G37" s="1">
        <v>2276.76</v>
      </c>
      <c r="H37">
        <v>3483</v>
      </c>
      <c r="I37">
        <v>4706</v>
      </c>
      <c r="J37">
        <v>4985</v>
      </c>
      <c r="K37">
        <v>5998</v>
      </c>
      <c r="L37">
        <v>7328</v>
      </c>
      <c r="M37">
        <v>10088</v>
      </c>
      <c r="N37">
        <v>10702</v>
      </c>
      <c r="O37">
        <v>12960</v>
      </c>
      <c r="P37" s="1">
        <v>341.61</v>
      </c>
      <c r="Q37" s="1">
        <v>366.95</v>
      </c>
      <c r="R37" s="1">
        <v>704.51</v>
      </c>
      <c r="S37" s="1">
        <v>1203.24</v>
      </c>
      <c r="T37" s="1">
        <v>1970.6</v>
      </c>
      <c r="U37" s="1">
        <v>2490.62</v>
      </c>
      <c r="V37">
        <v>3812</v>
      </c>
      <c r="W37">
        <v>5159</v>
      </c>
      <c r="X37">
        <v>5485</v>
      </c>
      <c r="Y37">
        <v>6667</v>
      </c>
      <c r="Z37">
        <v>8229</v>
      </c>
      <c r="AA37">
        <v>11489</v>
      </c>
      <c r="AB37">
        <v>12227</v>
      </c>
      <c r="AC37">
        <v>14907</v>
      </c>
    </row>
    <row r="38" spans="1:29" ht="12.75">
      <c r="A38">
        <v>37</v>
      </c>
      <c r="B38" s="1">
        <v>319.45</v>
      </c>
      <c r="C38" s="1">
        <v>343.57</v>
      </c>
      <c r="D38" s="1">
        <v>651.89</v>
      </c>
      <c r="E38" s="1">
        <v>1110.46</v>
      </c>
      <c r="F38" s="1">
        <v>1815.01</v>
      </c>
      <c r="G38" s="1">
        <v>2289.14</v>
      </c>
      <c r="H38">
        <v>3499</v>
      </c>
      <c r="I38">
        <v>4727</v>
      </c>
      <c r="J38">
        <v>5006</v>
      </c>
      <c r="K38">
        <v>6021</v>
      </c>
      <c r="L38">
        <v>7354</v>
      </c>
      <c r="M38">
        <v>10116</v>
      </c>
      <c r="N38">
        <v>10728</v>
      </c>
      <c r="O38">
        <v>12984</v>
      </c>
      <c r="P38" s="1">
        <v>343.32</v>
      </c>
      <c r="Q38" s="1">
        <v>368.79</v>
      </c>
      <c r="R38" s="1">
        <v>708.03</v>
      </c>
      <c r="S38" s="1">
        <v>1209.25</v>
      </c>
      <c r="T38" s="1">
        <v>1980.44</v>
      </c>
      <c r="U38" s="1">
        <v>2503.06</v>
      </c>
      <c r="V38">
        <v>3831</v>
      </c>
      <c r="W38">
        <v>5184</v>
      </c>
      <c r="X38">
        <v>5512</v>
      </c>
      <c r="Y38">
        <v>6700</v>
      </c>
      <c r="Z38">
        <v>8270</v>
      </c>
      <c r="AA38">
        <v>11546</v>
      </c>
      <c r="AB38">
        <v>12288</v>
      </c>
      <c r="AC38">
        <v>14982</v>
      </c>
    </row>
    <row r="39" spans="1:29" ht="12.75">
      <c r="A39">
        <v>38</v>
      </c>
      <c r="B39" s="1">
        <v>321.71</v>
      </c>
      <c r="C39" s="1">
        <v>346</v>
      </c>
      <c r="D39" s="1">
        <v>656.29</v>
      </c>
      <c r="E39" s="1">
        <v>1117.72</v>
      </c>
      <c r="F39" s="1">
        <v>1826.46</v>
      </c>
      <c r="G39" s="1">
        <v>2302.85</v>
      </c>
      <c r="H39">
        <v>3519</v>
      </c>
      <c r="I39">
        <v>4750</v>
      </c>
      <c r="J39">
        <v>5031</v>
      </c>
      <c r="K39">
        <v>6048</v>
      </c>
      <c r="L39">
        <v>7384</v>
      </c>
      <c r="M39">
        <v>10148</v>
      </c>
      <c r="N39">
        <v>10760</v>
      </c>
      <c r="O39">
        <v>13015</v>
      </c>
      <c r="P39" s="1">
        <v>345.29</v>
      </c>
      <c r="Q39" s="1">
        <v>370.9</v>
      </c>
      <c r="R39" s="1">
        <v>712.09</v>
      </c>
      <c r="S39" s="1">
        <v>1216.19</v>
      </c>
      <c r="T39" s="1">
        <v>1991.8</v>
      </c>
      <c r="U39" s="1">
        <v>2517.42</v>
      </c>
      <c r="V39">
        <v>3853</v>
      </c>
      <c r="W39">
        <v>5214</v>
      </c>
      <c r="X39">
        <v>5544</v>
      </c>
      <c r="Y39">
        <v>6739</v>
      </c>
      <c r="Z39">
        <v>8318</v>
      </c>
      <c r="AA39">
        <v>11613</v>
      </c>
      <c r="AB39">
        <v>12359</v>
      </c>
      <c r="AC39">
        <v>15068</v>
      </c>
    </row>
    <row r="40" spans="1:29" ht="12.75">
      <c r="A40">
        <v>39</v>
      </c>
      <c r="B40" s="1">
        <v>324.17</v>
      </c>
      <c r="C40" s="1">
        <v>348.65</v>
      </c>
      <c r="D40" s="1">
        <v>661.24</v>
      </c>
      <c r="E40" s="1">
        <v>1125.89</v>
      </c>
      <c r="F40" s="1">
        <v>1839.2</v>
      </c>
      <c r="G40" s="1">
        <v>2318.4</v>
      </c>
      <c r="H40">
        <v>3540</v>
      </c>
      <c r="I40">
        <v>4777</v>
      </c>
      <c r="J40">
        <v>5059</v>
      </c>
      <c r="K40">
        <v>6080</v>
      </c>
      <c r="L40">
        <v>7418</v>
      </c>
      <c r="M40">
        <v>10187</v>
      </c>
      <c r="N40">
        <v>10800</v>
      </c>
      <c r="O40">
        <v>13054</v>
      </c>
      <c r="P40" s="1">
        <v>347.57</v>
      </c>
      <c r="Q40" s="1">
        <v>373.35</v>
      </c>
      <c r="R40" s="1">
        <v>716.79</v>
      </c>
      <c r="S40" s="1">
        <v>1224.22</v>
      </c>
      <c r="T40" s="1">
        <v>2004.95</v>
      </c>
      <c r="U40" s="1">
        <v>2534.03</v>
      </c>
      <c r="V40">
        <v>3879</v>
      </c>
      <c r="W40">
        <v>5249</v>
      </c>
      <c r="X40">
        <v>5581</v>
      </c>
      <c r="Y40">
        <v>6783</v>
      </c>
      <c r="Z40">
        <v>8373</v>
      </c>
      <c r="AA40">
        <v>11689</v>
      </c>
      <c r="AB40">
        <v>12440</v>
      </c>
      <c r="AC40">
        <v>15167</v>
      </c>
    </row>
    <row r="41" spans="1:29" ht="12.75">
      <c r="A41">
        <v>40</v>
      </c>
      <c r="B41" s="1">
        <v>326.71</v>
      </c>
      <c r="C41" s="1">
        <v>351.38</v>
      </c>
      <c r="D41" s="1">
        <v>666.41</v>
      </c>
      <c r="E41" s="1">
        <v>1134.66</v>
      </c>
      <c r="F41" s="1">
        <v>1853.1</v>
      </c>
      <c r="G41" s="1">
        <v>2335.64</v>
      </c>
      <c r="H41">
        <v>3565</v>
      </c>
      <c r="I41">
        <v>4807</v>
      </c>
      <c r="J41">
        <v>5090</v>
      </c>
      <c r="K41">
        <v>6115</v>
      </c>
      <c r="L41">
        <v>7458</v>
      </c>
      <c r="M41">
        <v>10230</v>
      </c>
      <c r="N41">
        <v>10844</v>
      </c>
      <c r="O41">
        <v>13099</v>
      </c>
      <c r="P41" s="1">
        <v>350.13</v>
      </c>
      <c r="Q41" s="1">
        <v>376.1</v>
      </c>
      <c r="R41" s="1">
        <v>722.08</v>
      </c>
      <c r="S41" s="1">
        <v>1233.25</v>
      </c>
      <c r="T41" s="1">
        <v>2019.74</v>
      </c>
      <c r="U41" s="1">
        <v>2552.73</v>
      </c>
      <c r="V41">
        <v>3908</v>
      </c>
      <c r="W41">
        <v>5292</v>
      </c>
      <c r="X41">
        <v>5628</v>
      </c>
      <c r="Y41">
        <v>6845</v>
      </c>
      <c r="Z41">
        <v>8457</v>
      </c>
      <c r="AA41">
        <v>11830</v>
      </c>
      <c r="AB41">
        <v>12595</v>
      </c>
      <c r="AC41">
        <v>15378</v>
      </c>
    </row>
    <row r="42" spans="1:29" ht="12.75">
      <c r="A42">
        <v>41</v>
      </c>
      <c r="B42" s="1">
        <v>329.28</v>
      </c>
      <c r="C42" s="1">
        <v>354.15</v>
      </c>
      <c r="D42" s="1">
        <v>671.65</v>
      </c>
      <c r="E42" s="1">
        <v>1143.57</v>
      </c>
      <c r="F42" s="1">
        <v>1867.6</v>
      </c>
      <c r="G42" s="1">
        <v>2353.62</v>
      </c>
      <c r="H42">
        <v>3592</v>
      </c>
      <c r="I42">
        <v>4841</v>
      </c>
      <c r="J42">
        <v>5125</v>
      </c>
      <c r="K42">
        <v>6154</v>
      </c>
      <c r="L42">
        <v>7502</v>
      </c>
      <c r="M42">
        <v>10282</v>
      </c>
      <c r="N42">
        <v>10896</v>
      </c>
      <c r="O42">
        <v>13153</v>
      </c>
      <c r="P42" s="1">
        <v>352.88</v>
      </c>
      <c r="Q42" s="1">
        <v>379.06</v>
      </c>
      <c r="R42" s="1">
        <v>727.75</v>
      </c>
      <c r="S42" s="1">
        <v>1242.93</v>
      </c>
      <c r="T42" s="1">
        <v>2035.6</v>
      </c>
      <c r="U42" s="1">
        <v>2572.77</v>
      </c>
      <c r="V42">
        <v>3940</v>
      </c>
      <c r="W42">
        <v>5336</v>
      </c>
      <c r="X42">
        <v>5675</v>
      </c>
      <c r="Y42">
        <v>6904</v>
      </c>
      <c r="Z42">
        <v>8531</v>
      </c>
      <c r="AA42">
        <v>11937</v>
      </c>
      <c r="AB42">
        <v>12710</v>
      </c>
      <c r="AC42">
        <v>15521</v>
      </c>
    </row>
    <row r="43" spans="1:29" ht="12.75">
      <c r="A43">
        <v>42</v>
      </c>
      <c r="B43" s="1">
        <v>331.9</v>
      </c>
      <c r="C43" s="1">
        <v>356.96</v>
      </c>
      <c r="D43" s="1">
        <v>676.98</v>
      </c>
      <c r="E43" s="1">
        <v>1152.63</v>
      </c>
      <c r="F43" s="1">
        <v>1882.13</v>
      </c>
      <c r="G43" s="1">
        <v>2372.14</v>
      </c>
      <c r="H43">
        <v>3619</v>
      </c>
      <c r="I43">
        <v>4878</v>
      </c>
      <c r="J43">
        <v>5163</v>
      </c>
      <c r="K43">
        <v>6198</v>
      </c>
      <c r="L43">
        <v>7551</v>
      </c>
      <c r="M43">
        <v>10338</v>
      </c>
      <c r="N43">
        <v>10954</v>
      </c>
      <c r="O43">
        <v>13213</v>
      </c>
      <c r="P43" s="1">
        <v>355.67</v>
      </c>
      <c r="Q43" s="1">
        <v>382.06</v>
      </c>
      <c r="R43" s="1">
        <v>733.51</v>
      </c>
      <c r="S43" s="1">
        <v>1252.77</v>
      </c>
      <c r="T43" s="1">
        <v>2051.72</v>
      </c>
      <c r="U43" s="1">
        <v>2593.14</v>
      </c>
      <c r="V43">
        <v>3973</v>
      </c>
      <c r="W43">
        <v>5382</v>
      </c>
      <c r="X43">
        <v>5724</v>
      </c>
      <c r="Y43">
        <v>6965</v>
      </c>
      <c r="Z43">
        <v>8608</v>
      </c>
      <c r="AA43">
        <v>12048</v>
      </c>
      <c r="AB43">
        <v>12829</v>
      </c>
      <c r="AC43">
        <v>15668</v>
      </c>
    </row>
    <row r="44" spans="1:29" ht="12.75">
      <c r="A44">
        <v>43</v>
      </c>
      <c r="B44" s="1">
        <v>334.6</v>
      </c>
      <c r="C44" s="1">
        <v>359.82</v>
      </c>
      <c r="D44" s="1">
        <v>682.39</v>
      </c>
      <c r="E44" s="1">
        <v>1161.82</v>
      </c>
      <c r="F44" s="1">
        <v>1896.89</v>
      </c>
      <c r="G44" s="1">
        <v>2390.7</v>
      </c>
      <c r="H44">
        <v>3647</v>
      </c>
      <c r="I44">
        <v>4915</v>
      </c>
      <c r="J44">
        <v>5203</v>
      </c>
      <c r="K44">
        <v>6244</v>
      </c>
      <c r="L44">
        <v>7605</v>
      </c>
      <c r="M44">
        <v>10402</v>
      </c>
      <c r="N44">
        <v>11019</v>
      </c>
      <c r="O44">
        <v>13281</v>
      </c>
      <c r="P44" s="1">
        <v>358.51</v>
      </c>
      <c r="Q44" s="1">
        <v>385.11</v>
      </c>
      <c r="R44" s="1">
        <v>739.36</v>
      </c>
      <c r="S44" s="1">
        <v>1262.77</v>
      </c>
      <c r="T44" s="1">
        <v>2068.09</v>
      </c>
      <c r="U44" s="1">
        <v>2614.39</v>
      </c>
      <c r="V44">
        <v>4007</v>
      </c>
      <c r="W44">
        <v>5429</v>
      </c>
      <c r="X44">
        <v>5775</v>
      </c>
      <c r="Y44">
        <v>7027</v>
      </c>
      <c r="Z44">
        <v>8687</v>
      </c>
      <c r="AA44">
        <v>12162</v>
      </c>
      <c r="AB44">
        <v>12952</v>
      </c>
      <c r="AC44">
        <v>15821</v>
      </c>
    </row>
    <row r="45" spans="1:29" ht="12.75">
      <c r="A45">
        <v>44</v>
      </c>
      <c r="B45" s="1">
        <v>337.3</v>
      </c>
      <c r="C45" s="1">
        <v>362.77</v>
      </c>
      <c r="D45" s="1">
        <v>687.9</v>
      </c>
      <c r="E45" s="1">
        <v>1171.04</v>
      </c>
      <c r="F45" s="1">
        <v>1912.08</v>
      </c>
      <c r="G45" s="1">
        <v>2409.55</v>
      </c>
      <c r="H45">
        <v>3676</v>
      </c>
      <c r="I45">
        <v>4953</v>
      </c>
      <c r="J45">
        <v>5242</v>
      </c>
      <c r="K45">
        <v>6292</v>
      </c>
      <c r="L45">
        <v>7662</v>
      </c>
      <c r="M45">
        <v>10472</v>
      </c>
      <c r="N45">
        <v>11091</v>
      </c>
      <c r="O45">
        <v>13358</v>
      </c>
      <c r="P45" s="1">
        <v>361.39</v>
      </c>
      <c r="Q45" s="1">
        <v>388.2</v>
      </c>
      <c r="R45" s="1">
        <v>745.31</v>
      </c>
      <c r="S45" s="1">
        <v>1272.92</v>
      </c>
      <c r="T45" s="1">
        <v>2084.94</v>
      </c>
      <c r="U45" s="1">
        <v>2636.27</v>
      </c>
      <c r="V45">
        <v>4041</v>
      </c>
      <c r="W45">
        <v>5479</v>
      </c>
      <c r="X45">
        <v>5827</v>
      </c>
      <c r="Y45">
        <v>7093</v>
      </c>
      <c r="Z45">
        <v>8769</v>
      </c>
      <c r="AA45">
        <v>12281</v>
      </c>
      <c r="AB45">
        <v>13078</v>
      </c>
      <c r="AC45">
        <v>15980</v>
      </c>
    </row>
    <row r="46" spans="1:29" ht="12.75">
      <c r="A46">
        <v>45</v>
      </c>
      <c r="B46" s="1">
        <v>340.05</v>
      </c>
      <c r="C46" s="1">
        <v>365.72</v>
      </c>
      <c r="D46" s="1">
        <v>693.49</v>
      </c>
      <c r="E46" s="1">
        <v>1180.53</v>
      </c>
      <c r="F46" s="1">
        <v>1927.32</v>
      </c>
      <c r="G46" s="1">
        <v>2428.7</v>
      </c>
      <c r="H46">
        <v>3704</v>
      </c>
      <c r="I46">
        <v>4991</v>
      </c>
      <c r="J46">
        <v>5283</v>
      </c>
      <c r="K46">
        <v>6341</v>
      </c>
      <c r="L46">
        <v>7720</v>
      </c>
      <c r="M46">
        <v>10549</v>
      </c>
      <c r="N46">
        <v>11170</v>
      </c>
      <c r="O46">
        <v>13443</v>
      </c>
      <c r="P46" s="1">
        <v>364.32</v>
      </c>
      <c r="Q46" s="1">
        <v>391.35</v>
      </c>
      <c r="R46" s="1">
        <v>751.35</v>
      </c>
      <c r="S46" s="1">
        <v>1283.24</v>
      </c>
      <c r="T46" s="1">
        <v>2102.3</v>
      </c>
      <c r="U46" s="1">
        <v>2658.8</v>
      </c>
      <c r="V46">
        <v>4078</v>
      </c>
      <c r="W46">
        <v>5529</v>
      </c>
      <c r="X46">
        <v>5882</v>
      </c>
      <c r="Y46">
        <v>7160</v>
      </c>
      <c r="Z46">
        <v>8854</v>
      </c>
      <c r="AA46">
        <v>12403</v>
      </c>
      <c r="AB46">
        <v>13208</v>
      </c>
      <c r="AC46">
        <v>16141</v>
      </c>
    </row>
    <row r="47" spans="1:29" ht="12.75">
      <c r="A47">
        <v>46</v>
      </c>
      <c r="B47" s="1">
        <v>342.84</v>
      </c>
      <c r="C47" s="1">
        <v>368.73</v>
      </c>
      <c r="D47" s="1">
        <v>699.17</v>
      </c>
      <c r="E47" s="1">
        <v>1190.18</v>
      </c>
      <c r="F47" s="1">
        <v>1943.01</v>
      </c>
      <c r="G47" s="1">
        <v>2448.42</v>
      </c>
      <c r="H47">
        <v>3734</v>
      </c>
      <c r="I47">
        <v>5030</v>
      </c>
      <c r="J47">
        <v>5324</v>
      </c>
      <c r="K47">
        <v>6389</v>
      </c>
      <c r="L47">
        <v>7779</v>
      </c>
      <c r="M47">
        <v>10627</v>
      </c>
      <c r="N47">
        <v>11251</v>
      </c>
      <c r="O47">
        <v>13535</v>
      </c>
      <c r="P47" s="1">
        <v>367.3</v>
      </c>
      <c r="Q47" s="1">
        <v>394.55</v>
      </c>
      <c r="R47" s="1">
        <v>757.49</v>
      </c>
      <c r="S47" s="1">
        <v>1293.73</v>
      </c>
      <c r="T47" s="1">
        <v>2120.19</v>
      </c>
      <c r="U47" s="1">
        <v>2682.02</v>
      </c>
      <c r="V47">
        <v>4115</v>
      </c>
      <c r="W47">
        <v>5581</v>
      </c>
      <c r="X47">
        <v>5938</v>
      </c>
      <c r="Y47">
        <v>7229</v>
      </c>
      <c r="Z47">
        <v>8942</v>
      </c>
      <c r="AA47">
        <v>12529</v>
      </c>
      <c r="AB47">
        <v>13344</v>
      </c>
      <c r="AC47">
        <v>16311</v>
      </c>
    </row>
    <row r="48" spans="1:29" ht="12.75">
      <c r="A48">
        <v>47</v>
      </c>
      <c r="B48" s="1">
        <v>345.68</v>
      </c>
      <c r="C48" s="1">
        <v>371.78</v>
      </c>
      <c r="D48" s="1">
        <v>704.95</v>
      </c>
      <c r="E48" s="1">
        <v>1199.99</v>
      </c>
      <c r="F48" s="1">
        <v>1958.74</v>
      </c>
      <c r="G48" s="1">
        <v>2468.19</v>
      </c>
      <c r="H48">
        <v>3764</v>
      </c>
      <c r="I48">
        <v>5070</v>
      </c>
      <c r="J48">
        <v>5366</v>
      </c>
      <c r="K48">
        <v>6439</v>
      </c>
      <c r="L48">
        <v>7839</v>
      </c>
      <c r="M48">
        <v>10706</v>
      </c>
      <c r="N48">
        <v>11335</v>
      </c>
      <c r="O48">
        <v>13634</v>
      </c>
      <c r="P48" s="1">
        <v>370.33</v>
      </c>
      <c r="Q48" s="1">
        <v>397.8</v>
      </c>
      <c r="R48" s="1">
        <v>763.74</v>
      </c>
      <c r="S48" s="1">
        <v>1304.54</v>
      </c>
      <c r="T48" s="1">
        <v>2138.85</v>
      </c>
      <c r="U48" s="1">
        <v>2706.25</v>
      </c>
      <c r="V48">
        <v>4154</v>
      </c>
      <c r="W48">
        <v>5636</v>
      </c>
      <c r="X48">
        <v>5996</v>
      </c>
      <c r="Y48">
        <v>7301</v>
      </c>
      <c r="Z48">
        <v>9032</v>
      </c>
      <c r="AA48">
        <v>12661</v>
      </c>
      <c r="AB48">
        <v>13485</v>
      </c>
      <c r="AC48">
        <v>16485</v>
      </c>
    </row>
    <row r="49" spans="1:29" ht="12.75">
      <c r="A49">
        <v>48</v>
      </c>
      <c r="B49" s="1">
        <v>348.56</v>
      </c>
      <c r="C49" s="1">
        <v>374.88</v>
      </c>
      <c r="D49" s="1">
        <v>710.82</v>
      </c>
      <c r="E49" s="1">
        <v>1209.82</v>
      </c>
      <c r="F49" s="1">
        <v>1974.95</v>
      </c>
      <c r="G49" s="1">
        <v>2488.29</v>
      </c>
      <c r="H49">
        <v>3794</v>
      </c>
      <c r="I49">
        <v>5110</v>
      </c>
      <c r="J49">
        <v>5408</v>
      </c>
      <c r="K49">
        <v>6490</v>
      </c>
      <c r="L49">
        <v>7899</v>
      </c>
      <c r="M49">
        <v>10787</v>
      </c>
      <c r="N49">
        <v>11420</v>
      </c>
      <c r="O49">
        <v>13734</v>
      </c>
      <c r="P49" s="1">
        <v>373.41</v>
      </c>
      <c r="Q49" s="1">
        <v>401.11</v>
      </c>
      <c r="R49" s="1">
        <v>770.08</v>
      </c>
      <c r="S49" s="1">
        <v>1315.53</v>
      </c>
      <c r="T49" s="1">
        <v>2158.08</v>
      </c>
      <c r="U49" s="1">
        <v>2730.91</v>
      </c>
      <c r="V49">
        <v>4194</v>
      </c>
      <c r="W49">
        <v>5691</v>
      </c>
      <c r="X49">
        <v>6055</v>
      </c>
      <c r="Y49">
        <v>7375</v>
      </c>
      <c r="Z49">
        <v>9125</v>
      </c>
      <c r="AA49">
        <v>12797</v>
      </c>
      <c r="AB49">
        <v>13629</v>
      </c>
      <c r="AC49">
        <v>16666</v>
      </c>
    </row>
    <row r="50" spans="1:29" ht="12.75">
      <c r="A50">
        <v>49</v>
      </c>
      <c r="B50" s="1">
        <v>351.54</v>
      </c>
      <c r="C50" s="1">
        <v>378.04</v>
      </c>
      <c r="D50" s="1">
        <v>716.79</v>
      </c>
      <c r="E50" s="1">
        <v>1219.96</v>
      </c>
      <c r="F50" s="1">
        <v>1991.21</v>
      </c>
      <c r="G50" s="1">
        <v>2508.71</v>
      </c>
      <c r="H50">
        <v>3825</v>
      </c>
      <c r="I50">
        <v>5151</v>
      </c>
      <c r="J50">
        <v>5452</v>
      </c>
      <c r="K50">
        <v>6541</v>
      </c>
      <c r="L50">
        <v>7961</v>
      </c>
      <c r="M50">
        <v>10868</v>
      </c>
      <c r="N50">
        <v>11506</v>
      </c>
      <c r="O50">
        <v>13835</v>
      </c>
      <c r="P50" s="1">
        <v>376.54</v>
      </c>
      <c r="Q50" s="1">
        <v>404.47</v>
      </c>
      <c r="R50" s="1">
        <v>776.54</v>
      </c>
      <c r="S50" s="1">
        <v>1327</v>
      </c>
      <c r="T50" s="1">
        <v>2177.91</v>
      </c>
      <c r="U50" s="1">
        <v>2756.65</v>
      </c>
      <c r="V50">
        <v>4235</v>
      </c>
      <c r="W50">
        <v>5749</v>
      </c>
      <c r="X50">
        <v>6117</v>
      </c>
      <c r="Y50">
        <v>7452</v>
      </c>
      <c r="Z50">
        <v>9223</v>
      </c>
      <c r="AA50">
        <v>12937</v>
      </c>
      <c r="AB50">
        <v>13780</v>
      </c>
      <c r="AC50">
        <v>16853</v>
      </c>
    </row>
    <row r="51" spans="1:29" ht="12.75">
      <c r="A51">
        <v>50</v>
      </c>
      <c r="B51" s="1">
        <v>354.52</v>
      </c>
      <c r="C51" s="1">
        <v>381.25</v>
      </c>
      <c r="D51" s="1">
        <v>722.86</v>
      </c>
      <c r="E51" s="1">
        <v>1230.27</v>
      </c>
      <c r="F51" s="1">
        <v>2007.96</v>
      </c>
      <c r="G51" s="1">
        <v>2529.77</v>
      </c>
      <c r="H51">
        <v>3856</v>
      </c>
      <c r="I51">
        <v>5192</v>
      </c>
      <c r="J51">
        <v>5495</v>
      </c>
      <c r="K51">
        <v>6593</v>
      </c>
      <c r="L51">
        <v>8024</v>
      </c>
      <c r="M51">
        <v>10951</v>
      </c>
      <c r="N51">
        <v>11594</v>
      </c>
      <c r="O51">
        <v>13938</v>
      </c>
      <c r="P51" s="1">
        <v>379.72</v>
      </c>
      <c r="Q51" s="1">
        <v>407.89</v>
      </c>
      <c r="R51" s="1">
        <v>783.1</v>
      </c>
      <c r="S51" s="1">
        <v>1338.82</v>
      </c>
      <c r="T51" s="1">
        <v>2198.35</v>
      </c>
      <c r="U51" s="1">
        <v>2783.51</v>
      </c>
      <c r="V51">
        <v>4278</v>
      </c>
      <c r="W51">
        <v>5809</v>
      </c>
      <c r="X51">
        <v>6181</v>
      </c>
      <c r="Y51">
        <v>7531</v>
      </c>
      <c r="Z51">
        <v>9322</v>
      </c>
      <c r="AA51">
        <v>13082</v>
      </c>
      <c r="AB51">
        <v>13935</v>
      </c>
      <c r="AC51">
        <v>17046</v>
      </c>
    </row>
    <row r="52" spans="1:29" ht="12.75">
      <c r="A52">
        <v>51</v>
      </c>
      <c r="B52" s="1">
        <v>357.56</v>
      </c>
      <c r="C52" s="1">
        <v>384.55</v>
      </c>
      <c r="D52" s="1">
        <v>729.04</v>
      </c>
      <c r="E52" s="1">
        <v>1240.75</v>
      </c>
      <c r="F52" s="1">
        <v>2024.76</v>
      </c>
      <c r="G52" s="1">
        <v>2550.88</v>
      </c>
      <c r="H52">
        <v>3888</v>
      </c>
      <c r="I52">
        <v>5235</v>
      </c>
      <c r="J52">
        <v>5540</v>
      </c>
      <c r="K52">
        <v>6646</v>
      </c>
      <c r="L52">
        <v>8087</v>
      </c>
      <c r="M52">
        <v>11036</v>
      </c>
      <c r="N52">
        <v>11683</v>
      </c>
      <c r="O52">
        <v>14043</v>
      </c>
      <c r="P52" s="1">
        <v>382.95</v>
      </c>
      <c r="Q52" s="1">
        <v>411.36</v>
      </c>
      <c r="R52" s="1">
        <v>789.86</v>
      </c>
      <c r="S52" s="1">
        <v>1351.17</v>
      </c>
      <c r="T52" s="1">
        <v>2219.68</v>
      </c>
      <c r="U52" s="1">
        <v>2810.89</v>
      </c>
      <c r="V52">
        <v>4322</v>
      </c>
      <c r="W52">
        <v>5871</v>
      </c>
      <c r="X52">
        <v>6248</v>
      </c>
      <c r="Y52">
        <v>7614</v>
      </c>
      <c r="Z52">
        <v>9426</v>
      </c>
      <c r="AA52">
        <v>13231</v>
      </c>
      <c r="AB52">
        <v>14096</v>
      </c>
      <c r="AC52">
        <v>17246</v>
      </c>
    </row>
    <row r="53" spans="1:29" ht="12.75">
      <c r="A53">
        <v>52</v>
      </c>
      <c r="B53" s="1">
        <v>360.64</v>
      </c>
      <c r="C53" s="1">
        <v>387.87</v>
      </c>
      <c r="D53" s="1">
        <v>735.32</v>
      </c>
      <c r="E53" s="1">
        <v>1251.41</v>
      </c>
      <c r="F53" s="1">
        <v>2042.09</v>
      </c>
      <c r="G53" s="1">
        <v>2572.35</v>
      </c>
      <c r="H53">
        <v>3920</v>
      </c>
      <c r="I53">
        <v>5278</v>
      </c>
      <c r="J53">
        <v>5585</v>
      </c>
      <c r="K53">
        <v>6699</v>
      </c>
      <c r="L53">
        <v>8152</v>
      </c>
      <c r="M53">
        <v>11121</v>
      </c>
      <c r="N53">
        <v>11772</v>
      </c>
      <c r="O53">
        <v>14149</v>
      </c>
      <c r="P53" s="1">
        <v>386.25</v>
      </c>
      <c r="Q53" s="1">
        <v>414.9</v>
      </c>
      <c r="R53" s="1">
        <v>796.84</v>
      </c>
      <c r="S53" s="1">
        <v>1363.9</v>
      </c>
      <c r="T53" s="1">
        <v>2241.44</v>
      </c>
      <c r="U53" s="1">
        <v>2839.48</v>
      </c>
      <c r="V53">
        <v>4368</v>
      </c>
      <c r="W53">
        <v>5935</v>
      </c>
      <c r="X53">
        <v>6316</v>
      </c>
      <c r="Y53">
        <v>7700</v>
      </c>
      <c r="Z53">
        <v>9535</v>
      </c>
      <c r="AA53">
        <v>13388</v>
      </c>
      <c r="AB53">
        <v>14264</v>
      </c>
      <c r="AC53">
        <v>17455</v>
      </c>
    </row>
    <row r="54" spans="1:29" ht="12.75">
      <c r="A54">
        <v>53</v>
      </c>
      <c r="B54" s="1">
        <v>363.79</v>
      </c>
      <c r="C54" s="1">
        <v>391.25</v>
      </c>
      <c r="D54" s="1">
        <v>741.71</v>
      </c>
      <c r="E54" s="1">
        <v>1262.11</v>
      </c>
      <c r="F54" s="1">
        <v>2059.48</v>
      </c>
      <c r="G54" s="1">
        <v>2594.19</v>
      </c>
      <c r="H54">
        <v>3953</v>
      </c>
      <c r="I54">
        <v>5322</v>
      </c>
      <c r="J54">
        <v>5632</v>
      </c>
      <c r="K54">
        <v>6754</v>
      </c>
      <c r="L54">
        <v>8217</v>
      </c>
      <c r="M54">
        <v>11208</v>
      </c>
      <c r="N54">
        <v>11864</v>
      </c>
      <c r="O54">
        <v>14256</v>
      </c>
      <c r="P54" s="1">
        <v>389.6</v>
      </c>
      <c r="Q54" s="1">
        <v>418.5</v>
      </c>
      <c r="R54" s="1">
        <v>804.12</v>
      </c>
      <c r="S54" s="1">
        <v>1377.03</v>
      </c>
      <c r="T54" s="1">
        <v>2264.15</v>
      </c>
      <c r="U54" s="1">
        <v>2868.99</v>
      </c>
      <c r="V54">
        <v>4415</v>
      </c>
      <c r="W54">
        <v>6002</v>
      </c>
      <c r="X54">
        <v>6388</v>
      </c>
      <c r="Y54">
        <v>7787</v>
      </c>
      <c r="Z54">
        <v>9646</v>
      </c>
      <c r="AA54">
        <v>13549</v>
      </c>
      <c r="AB54">
        <v>14437</v>
      </c>
      <c r="AC54">
        <v>17671</v>
      </c>
    </row>
    <row r="55" spans="1:29" ht="12.75">
      <c r="A55">
        <v>54</v>
      </c>
      <c r="B55" s="1">
        <v>366.98</v>
      </c>
      <c r="C55" s="1">
        <v>394.69</v>
      </c>
      <c r="D55" s="1">
        <v>748.22</v>
      </c>
      <c r="E55" s="1">
        <v>1273.15</v>
      </c>
      <c r="F55" s="1">
        <v>2077.4</v>
      </c>
      <c r="G55" s="1">
        <v>2616.7</v>
      </c>
      <c r="H55">
        <v>3987</v>
      </c>
      <c r="I55">
        <v>5366</v>
      </c>
      <c r="J55">
        <v>5679</v>
      </c>
      <c r="K55">
        <v>6810</v>
      </c>
      <c r="L55">
        <v>8284</v>
      </c>
      <c r="M55">
        <v>11296</v>
      </c>
      <c r="N55">
        <v>11957</v>
      </c>
      <c r="O55">
        <v>14366</v>
      </c>
      <c r="P55" s="1">
        <v>393</v>
      </c>
      <c r="Q55" s="1">
        <v>422.16</v>
      </c>
      <c r="R55" s="1">
        <v>811.63</v>
      </c>
      <c r="S55" s="1">
        <v>1390.58</v>
      </c>
      <c r="T55" s="1">
        <v>2287.87</v>
      </c>
      <c r="U55" s="1">
        <v>2899.46</v>
      </c>
      <c r="V55">
        <v>4465</v>
      </c>
      <c r="W55">
        <v>6071</v>
      </c>
      <c r="X55">
        <v>6461</v>
      </c>
      <c r="Y55">
        <v>7879</v>
      </c>
      <c r="Z55">
        <v>9762</v>
      </c>
      <c r="AA55">
        <v>13717</v>
      </c>
      <c r="AB55">
        <v>14617</v>
      </c>
      <c r="AC55">
        <v>17895</v>
      </c>
    </row>
    <row r="56" spans="1:29" ht="12.75">
      <c r="A56">
        <v>55</v>
      </c>
      <c r="B56" s="1">
        <v>370.28</v>
      </c>
      <c r="C56" s="1">
        <v>398.24</v>
      </c>
      <c r="D56" s="1">
        <v>754.93</v>
      </c>
      <c r="E56" s="1">
        <v>1284.37</v>
      </c>
      <c r="F56" s="1">
        <v>2095.4</v>
      </c>
      <c r="G56" s="1">
        <v>2639.3</v>
      </c>
      <c r="H56">
        <v>4021</v>
      </c>
      <c r="I56">
        <v>5411</v>
      </c>
      <c r="J56">
        <v>5726</v>
      </c>
      <c r="K56">
        <v>6866</v>
      </c>
      <c r="L56">
        <v>8351</v>
      </c>
      <c r="M56">
        <v>11386</v>
      </c>
      <c r="N56">
        <v>12052</v>
      </c>
      <c r="O56">
        <v>14477</v>
      </c>
      <c r="P56" s="1">
        <v>396.47</v>
      </c>
      <c r="Q56" s="1">
        <v>425.93</v>
      </c>
      <c r="R56" s="1">
        <v>819.38</v>
      </c>
      <c r="S56" s="1">
        <v>1404.57</v>
      </c>
      <c r="T56" s="1">
        <v>2312.08</v>
      </c>
      <c r="U56" s="1">
        <v>2930.93</v>
      </c>
      <c r="V56">
        <v>4516</v>
      </c>
      <c r="W56">
        <v>6142</v>
      </c>
      <c r="X56">
        <v>6537</v>
      </c>
      <c r="Y56">
        <v>7974</v>
      </c>
      <c r="Z56">
        <v>9882</v>
      </c>
      <c r="AA56">
        <v>13891</v>
      </c>
      <c r="AB56">
        <v>14804</v>
      </c>
      <c r="AC56">
        <v>18126</v>
      </c>
    </row>
    <row r="57" spans="1:29" ht="12.75">
      <c r="A57">
        <v>56</v>
      </c>
      <c r="B57" s="1">
        <v>373.68</v>
      </c>
      <c r="C57" s="1">
        <v>401.85</v>
      </c>
      <c r="D57" s="1">
        <v>761.76</v>
      </c>
      <c r="E57" s="1">
        <v>1295.96</v>
      </c>
      <c r="F57" s="1">
        <v>2113.96</v>
      </c>
      <c r="G57" s="1">
        <v>2662.61</v>
      </c>
      <c r="H57">
        <v>4055</v>
      </c>
      <c r="I57">
        <v>5457</v>
      </c>
      <c r="J57">
        <v>5775</v>
      </c>
      <c r="K57">
        <v>6924</v>
      </c>
      <c r="L57">
        <v>8420</v>
      </c>
      <c r="M57">
        <v>11477</v>
      </c>
      <c r="N57">
        <v>12148</v>
      </c>
      <c r="O57">
        <v>14589</v>
      </c>
      <c r="P57" s="1">
        <v>400.05</v>
      </c>
      <c r="Q57" s="1">
        <v>429.78</v>
      </c>
      <c r="R57" s="1">
        <v>827.38</v>
      </c>
      <c r="S57" s="1">
        <v>1419.18</v>
      </c>
      <c r="T57" s="1">
        <v>2337.38</v>
      </c>
      <c r="U57" s="1">
        <v>2963.81</v>
      </c>
      <c r="V57">
        <v>4568</v>
      </c>
      <c r="W57">
        <v>6216</v>
      </c>
      <c r="X57">
        <v>6617</v>
      </c>
      <c r="Y57">
        <v>8073</v>
      </c>
      <c r="Z57">
        <v>10006</v>
      </c>
      <c r="AA57">
        <v>14071</v>
      </c>
      <c r="AB57">
        <v>14997</v>
      </c>
      <c r="AC57">
        <v>18369</v>
      </c>
    </row>
    <row r="58" spans="1:29" ht="12.75">
      <c r="A58">
        <v>57</v>
      </c>
      <c r="B58" s="1">
        <v>377.15</v>
      </c>
      <c r="C58" s="1">
        <v>405.58</v>
      </c>
      <c r="D58" s="1">
        <v>768.81</v>
      </c>
      <c r="E58" s="1">
        <v>1307.91</v>
      </c>
      <c r="F58" s="1">
        <v>2133.37</v>
      </c>
      <c r="G58" s="1">
        <v>2686.66</v>
      </c>
      <c r="H58">
        <v>4091</v>
      </c>
      <c r="I58">
        <v>5504</v>
      </c>
      <c r="J58">
        <v>5824</v>
      </c>
      <c r="K58">
        <v>6983</v>
      </c>
      <c r="L58">
        <v>8490</v>
      </c>
      <c r="M58">
        <v>11571</v>
      </c>
      <c r="N58">
        <v>12246</v>
      </c>
      <c r="O58">
        <v>14704</v>
      </c>
      <c r="P58" s="1">
        <v>403.79</v>
      </c>
      <c r="Q58" s="1">
        <v>433.84</v>
      </c>
      <c r="R58" s="1">
        <v>835.64</v>
      </c>
      <c r="S58" s="1">
        <v>1434.27</v>
      </c>
      <c r="T58" s="1">
        <v>2363.53</v>
      </c>
      <c r="U58" s="1">
        <v>2997.8</v>
      </c>
      <c r="V58">
        <v>4623</v>
      </c>
      <c r="W58">
        <v>6293</v>
      </c>
      <c r="X58">
        <v>6699</v>
      </c>
      <c r="Y58">
        <v>8174</v>
      </c>
      <c r="Z58">
        <v>10135</v>
      </c>
      <c r="AA58">
        <v>14258</v>
      </c>
      <c r="AB58">
        <v>15197</v>
      </c>
      <c r="AC58">
        <v>18620</v>
      </c>
    </row>
    <row r="59" spans="1:29" ht="12.75">
      <c r="A59">
        <v>58</v>
      </c>
      <c r="B59" s="1">
        <v>380.73</v>
      </c>
      <c r="C59" s="1">
        <v>409.42</v>
      </c>
      <c r="D59" s="1">
        <v>776.08</v>
      </c>
      <c r="E59" s="1">
        <v>1320.25</v>
      </c>
      <c r="F59" s="1">
        <v>2153.13</v>
      </c>
      <c r="G59" s="1">
        <v>2711.47</v>
      </c>
      <c r="H59">
        <v>4129</v>
      </c>
      <c r="I59">
        <v>5553</v>
      </c>
      <c r="J59">
        <v>5876</v>
      </c>
      <c r="K59">
        <v>7042</v>
      </c>
      <c r="L59">
        <v>8562</v>
      </c>
      <c r="M59">
        <v>11665</v>
      </c>
      <c r="N59">
        <v>12344</v>
      </c>
      <c r="O59">
        <v>14820</v>
      </c>
      <c r="P59" s="1">
        <v>407.64</v>
      </c>
      <c r="Q59" s="1">
        <v>437.99</v>
      </c>
      <c r="R59" s="1">
        <v>844.27</v>
      </c>
      <c r="S59" s="1">
        <v>1449.86</v>
      </c>
      <c r="T59" s="1">
        <v>2390.56</v>
      </c>
      <c r="U59" s="1">
        <v>3032.96</v>
      </c>
      <c r="V59">
        <v>4680</v>
      </c>
      <c r="W59">
        <v>6372</v>
      </c>
      <c r="X59">
        <v>6784</v>
      </c>
      <c r="Y59">
        <v>8280</v>
      </c>
      <c r="Z59">
        <v>10269</v>
      </c>
      <c r="AA59">
        <v>14453</v>
      </c>
      <c r="AB59">
        <v>15407</v>
      </c>
      <c r="AC59">
        <v>18880</v>
      </c>
    </row>
    <row r="60" spans="1:29" ht="12.75">
      <c r="A60">
        <v>59</v>
      </c>
      <c r="B60" s="1">
        <v>384.38</v>
      </c>
      <c r="C60" s="1">
        <v>413.4</v>
      </c>
      <c r="D60" s="1">
        <v>783.59</v>
      </c>
      <c r="E60" s="1">
        <v>1332.83</v>
      </c>
      <c r="F60" s="1">
        <v>2173.81</v>
      </c>
      <c r="G60" s="1">
        <v>2737.09</v>
      </c>
      <c r="H60">
        <v>4167</v>
      </c>
      <c r="I60">
        <v>5604</v>
      </c>
      <c r="J60">
        <v>5929</v>
      </c>
      <c r="K60">
        <v>7106</v>
      </c>
      <c r="L60">
        <v>8636</v>
      </c>
      <c r="M60">
        <v>11761</v>
      </c>
      <c r="N60">
        <v>12445</v>
      </c>
      <c r="O60">
        <v>14938</v>
      </c>
      <c r="P60" s="1">
        <v>411.63</v>
      </c>
      <c r="Q60" s="1">
        <v>442.27</v>
      </c>
      <c r="R60" s="1">
        <v>853.18</v>
      </c>
      <c r="S60" s="1">
        <v>1465.98</v>
      </c>
      <c r="T60" s="1">
        <v>2418.81</v>
      </c>
      <c r="U60" s="1">
        <v>3069.33</v>
      </c>
      <c r="V60">
        <v>4739</v>
      </c>
      <c r="W60">
        <v>6456</v>
      </c>
      <c r="X60">
        <v>6873</v>
      </c>
      <c r="Y60">
        <v>8391</v>
      </c>
      <c r="Z60">
        <v>10409</v>
      </c>
      <c r="AA60">
        <v>14657</v>
      </c>
      <c r="AB60">
        <v>15624</v>
      </c>
      <c r="AC60">
        <v>19151</v>
      </c>
    </row>
    <row r="61" spans="1:29" ht="12.75">
      <c r="A61">
        <v>60</v>
      </c>
      <c r="B61" s="1">
        <v>388.19</v>
      </c>
      <c r="C61" s="1">
        <v>417.45</v>
      </c>
      <c r="D61" s="1">
        <v>791.25</v>
      </c>
      <c r="E61" s="1">
        <v>1345.98</v>
      </c>
      <c r="F61" s="1">
        <v>2194.88</v>
      </c>
      <c r="G61" s="1">
        <v>2763.88</v>
      </c>
      <c r="H61">
        <v>4207</v>
      </c>
      <c r="I61">
        <v>5656</v>
      </c>
      <c r="J61">
        <v>5985</v>
      </c>
      <c r="K61">
        <v>7171</v>
      </c>
      <c r="L61">
        <v>8714</v>
      </c>
      <c r="M61">
        <v>11860</v>
      </c>
      <c r="N61">
        <v>12549</v>
      </c>
      <c r="O61">
        <v>15058</v>
      </c>
      <c r="P61" s="1">
        <v>415.74</v>
      </c>
      <c r="Q61" s="1">
        <v>446.75</v>
      </c>
      <c r="R61" s="1">
        <v>862.39</v>
      </c>
      <c r="S61" s="1">
        <v>1482.82</v>
      </c>
      <c r="T61" s="1">
        <v>2447.75</v>
      </c>
      <c r="U61" s="1">
        <v>3107.37</v>
      </c>
      <c r="V61">
        <v>4800</v>
      </c>
      <c r="W61">
        <v>6541</v>
      </c>
      <c r="X61">
        <v>6965</v>
      </c>
      <c r="Y61">
        <v>8505</v>
      </c>
      <c r="Z61">
        <v>10554</v>
      </c>
      <c r="AA61">
        <v>14868</v>
      </c>
      <c r="AB61">
        <v>15850</v>
      </c>
      <c r="AC61">
        <v>19434</v>
      </c>
    </row>
    <row r="62" spans="1:29" ht="12.75">
      <c r="A62">
        <v>61</v>
      </c>
      <c r="B62" s="1">
        <v>392.08</v>
      </c>
      <c r="C62" s="1">
        <v>421.68</v>
      </c>
      <c r="D62" s="1">
        <v>799.16</v>
      </c>
      <c r="E62" s="1">
        <v>1359.39</v>
      </c>
      <c r="F62" s="1">
        <v>2216.92</v>
      </c>
      <c r="G62" s="1">
        <v>2791.19</v>
      </c>
      <c r="H62">
        <v>4249</v>
      </c>
      <c r="I62">
        <v>5711</v>
      </c>
      <c r="J62">
        <v>6043</v>
      </c>
      <c r="K62">
        <v>7240</v>
      </c>
      <c r="L62">
        <v>8795</v>
      </c>
      <c r="M62">
        <v>11964</v>
      </c>
      <c r="N62">
        <v>12657</v>
      </c>
      <c r="O62">
        <v>15182</v>
      </c>
      <c r="P62" s="1">
        <v>419.99</v>
      </c>
      <c r="Q62" s="1">
        <v>451.37</v>
      </c>
      <c r="R62" s="1">
        <v>872.02</v>
      </c>
      <c r="S62" s="1">
        <v>1500.25</v>
      </c>
      <c r="T62" s="1">
        <v>2478.01</v>
      </c>
      <c r="U62" s="1">
        <v>3146.77</v>
      </c>
      <c r="V62">
        <v>4863</v>
      </c>
      <c r="W62">
        <v>6631</v>
      </c>
      <c r="X62">
        <v>7061</v>
      </c>
      <c r="Y62">
        <v>8624</v>
      </c>
      <c r="Z62">
        <v>10706</v>
      </c>
      <c r="AA62">
        <v>15086</v>
      </c>
      <c r="AB62">
        <v>16085</v>
      </c>
      <c r="AC62">
        <v>19729</v>
      </c>
    </row>
    <row r="63" spans="1:29" ht="12.75">
      <c r="A63">
        <v>62</v>
      </c>
      <c r="B63" s="1">
        <v>396.1</v>
      </c>
      <c r="C63" s="1">
        <v>426.01</v>
      </c>
      <c r="D63" s="1">
        <v>807.44</v>
      </c>
      <c r="E63" s="1">
        <v>1373.43</v>
      </c>
      <c r="F63" s="1">
        <v>2239.7</v>
      </c>
      <c r="G63" s="1">
        <v>2819.77</v>
      </c>
      <c r="H63">
        <v>4292</v>
      </c>
      <c r="I63">
        <v>5769</v>
      </c>
      <c r="J63">
        <v>6103</v>
      </c>
      <c r="K63">
        <v>7311</v>
      </c>
      <c r="L63">
        <v>8880</v>
      </c>
      <c r="M63">
        <v>12075</v>
      </c>
      <c r="N63">
        <v>12773</v>
      </c>
      <c r="O63">
        <v>15313</v>
      </c>
      <c r="P63" s="1">
        <v>424.43</v>
      </c>
      <c r="Q63" s="1">
        <v>456.21</v>
      </c>
      <c r="R63" s="1">
        <v>881.87</v>
      </c>
      <c r="S63" s="1">
        <v>1518.29</v>
      </c>
      <c r="T63" s="1">
        <v>2509.36</v>
      </c>
      <c r="U63" s="1">
        <v>3187.6</v>
      </c>
      <c r="V63">
        <v>4929</v>
      </c>
      <c r="W63">
        <v>6723</v>
      </c>
      <c r="X63">
        <v>7160</v>
      </c>
      <c r="Y63">
        <v>8748</v>
      </c>
      <c r="Z63">
        <v>10862</v>
      </c>
      <c r="AA63">
        <v>15316</v>
      </c>
      <c r="AB63">
        <v>16331</v>
      </c>
      <c r="AC63">
        <v>20035</v>
      </c>
    </row>
    <row r="64" spans="1:29" ht="12.75">
      <c r="A64">
        <v>63</v>
      </c>
      <c r="B64" s="1">
        <v>400.26</v>
      </c>
      <c r="C64" s="1">
        <v>430.42</v>
      </c>
      <c r="D64" s="1">
        <v>815.89</v>
      </c>
      <c r="E64" s="1">
        <v>1387.75</v>
      </c>
      <c r="F64" s="1">
        <v>2262.94</v>
      </c>
      <c r="G64" s="1">
        <v>2849.3</v>
      </c>
      <c r="H64">
        <v>4336</v>
      </c>
      <c r="I64">
        <v>5828</v>
      </c>
      <c r="J64">
        <v>6166</v>
      </c>
      <c r="K64">
        <v>7385</v>
      </c>
      <c r="L64">
        <v>8970</v>
      </c>
      <c r="M64">
        <v>12191</v>
      </c>
      <c r="N64">
        <v>12895</v>
      </c>
      <c r="O64">
        <v>15452</v>
      </c>
      <c r="P64" s="1">
        <v>429.03</v>
      </c>
      <c r="Q64" s="1">
        <v>461.15</v>
      </c>
      <c r="R64" s="1">
        <v>892.17</v>
      </c>
      <c r="S64" s="1">
        <v>1536.97</v>
      </c>
      <c r="T64" s="1">
        <v>2542.17</v>
      </c>
      <c r="U64" s="1">
        <v>3229.92</v>
      </c>
      <c r="V64">
        <v>4998</v>
      </c>
      <c r="W64">
        <v>6821</v>
      </c>
      <c r="X64">
        <v>7264</v>
      </c>
      <c r="Y64">
        <v>8878</v>
      </c>
      <c r="Z64">
        <v>11025</v>
      </c>
      <c r="AA64">
        <v>15554</v>
      </c>
      <c r="AB64">
        <v>16587</v>
      </c>
      <c r="AC64">
        <v>20354</v>
      </c>
    </row>
    <row r="65" spans="1:29" ht="12.75">
      <c r="A65">
        <v>64</v>
      </c>
      <c r="B65" s="1">
        <v>404.5</v>
      </c>
      <c r="C65" s="1">
        <v>435.04</v>
      </c>
      <c r="D65" s="1">
        <v>824.52</v>
      </c>
      <c r="E65" s="1">
        <v>1402.56</v>
      </c>
      <c r="F65" s="1">
        <v>2287.27</v>
      </c>
      <c r="G65" s="1">
        <v>2879.82</v>
      </c>
      <c r="H65">
        <v>4383</v>
      </c>
      <c r="I65">
        <v>5890</v>
      </c>
      <c r="J65">
        <v>6231</v>
      </c>
      <c r="K65">
        <v>7463</v>
      </c>
      <c r="L65">
        <v>9063</v>
      </c>
      <c r="M65">
        <v>12314</v>
      </c>
      <c r="N65">
        <v>13022</v>
      </c>
      <c r="O65">
        <v>15600</v>
      </c>
      <c r="P65" s="1">
        <v>433.78</v>
      </c>
      <c r="Q65" s="1">
        <v>466.31</v>
      </c>
      <c r="R65" s="1">
        <v>902.95</v>
      </c>
      <c r="S65" s="1">
        <v>1556.52</v>
      </c>
      <c r="T65" s="1">
        <v>2576.2</v>
      </c>
      <c r="U65" s="1">
        <v>3274.25</v>
      </c>
      <c r="V65">
        <v>5069</v>
      </c>
      <c r="W65">
        <v>6921</v>
      </c>
      <c r="X65">
        <v>7372</v>
      </c>
      <c r="Y65">
        <v>9012</v>
      </c>
      <c r="Z65">
        <v>11196</v>
      </c>
      <c r="AA65">
        <v>15801</v>
      </c>
      <c r="AB65">
        <v>16853</v>
      </c>
      <c r="AC65">
        <v>20689</v>
      </c>
    </row>
    <row r="66" spans="1:29" ht="12.75">
      <c r="A66">
        <v>65</v>
      </c>
      <c r="B66" s="1">
        <v>408.89</v>
      </c>
      <c r="C66" s="1">
        <v>439.76</v>
      </c>
      <c r="D66" s="1">
        <v>833.56</v>
      </c>
      <c r="E66" s="1">
        <v>1417.88</v>
      </c>
      <c r="F66" s="1">
        <v>2312.43</v>
      </c>
      <c r="G66" s="1">
        <v>2911.39</v>
      </c>
      <c r="H66">
        <v>4431</v>
      </c>
      <c r="I66">
        <v>5955</v>
      </c>
      <c r="J66">
        <v>6299</v>
      </c>
      <c r="K66">
        <v>7545</v>
      </c>
      <c r="L66">
        <v>9160</v>
      </c>
      <c r="M66">
        <v>12442</v>
      </c>
      <c r="N66">
        <v>13156</v>
      </c>
      <c r="O66">
        <v>15756</v>
      </c>
      <c r="P66" s="1">
        <v>438.69</v>
      </c>
      <c r="Q66" s="1">
        <v>471.66</v>
      </c>
      <c r="R66" s="1">
        <v>913.99</v>
      </c>
      <c r="S66" s="1">
        <v>1576.78</v>
      </c>
      <c r="T66" s="1">
        <v>2611.15</v>
      </c>
      <c r="U66" s="1">
        <v>3320.27</v>
      </c>
      <c r="V66">
        <v>5144</v>
      </c>
      <c r="W66">
        <v>7026</v>
      </c>
      <c r="X66">
        <v>7484</v>
      </c>
      <c r="Y66">
        <v>9153</v>
      </c>
      <c r="Z66">
        <v>11373</v>
      </c>
      <c r="AA66">
        <v>16061</v>
      </c>
      <c r="AB66">
        <v>17131</v>
      </c>
      <c r="AC66">
        <v>21036</v>
      </c>
    </row>
    <row r="67" spans="1:29" ht="12.75">
      <c r="A67">
        <v>66</v>
      </c>
      <c r="B67" s="1">
        <v>413.43</v>
      </c>
      <c r="C67" s="1">
        <v>444.64</v>
      </c>
      <c r="D67" s="1">
        <v>842.79</v>
      </c>
      <c r="E67" s="1">
        <v>1433.73</v>
      </c>
      <c r="F67" s="1">
        <v>2338.45</v>
      </c>
      <c r="G67" s="1">
        <v>2944.44</v>
      </c>
      <c r="H67">
        <v>4481</v>
      </c>
      <c r="I67">
        <v>6022</v>
      </c>
      <c r="J67">
        <v>6370</v>
      </c>
      <c r="K67">
        <v>7629</v>
      </c>
      <c r="L67">
        <v>9263</v>
      </c>
      <c r="M67">
        <v>12577</v>
      </c>
      <c r="N67">
        <v>13299</v>
      </c>
      <c r="O67">
        <v>15918</v>
      </c>
      <c r="P67" s="1">
        <v>443.83</v>
      </c>
      <c r="Q67" s="1">
        <v>477.19</v>
      </c>
      <c r="R67" s="1">
        <v>925.56</v>
      </c>
      <c r="S67" s="1">
        <v>1597.79</v>
      </c>
      <c r="T67" s="1">
        <v>2648.14</v>
      </c>
      <c r="U67" s="1">
        <v>3368.06</v>
      </c>
      <c r="V67">
        <v>5221</v>
      </c>
      <c r="W67">
        <v>7135</v>
      </c>
      <c r="X67">
        <v>7602</v>
      </c>
      <c r="Y67">
        <v>9299</v>
      </c>
      <c r="Z67">
        <v>11559</v>
      </c>
      <c r="AA67">
        <v>16331</v>
      </c>
      <c r="AB67">
        <v>17421</v>
      </c>
      <c r="AC67">
        <v>21403</v>
      </c>
    </row>
    <row r="68" spans="1:29" ht="12.75">
      <c r="A68">
        <v>67</v>
      </c>
      <c r="B68" s="1">
        <v>418.13</v>
      </c>
      <c r="C68" s="1">
        <v>449.7</v>
      </c>
      <c r="D68" s="1">
        <v>852.46</v>
      </c>
      <c r="E68" s="1">
        <v>1450.13</v>
      </c>
      <c r="F68" s="1">
        <v>2365.07</v>
      </c>
      <c r="G68" s="1">
        <v>2978.24</v>
      </c>
      <c r="H68">
        <v>4533</v>
      </c>
      <c r="I68">
        <v>6092</v>
      </c>
      <c r="J68">
        <v>6444</v>
      </c>
      <c r="K68">
        <v>7718</v>
      </c>
      <c r="L68">
        <v>9369</v>
      </c>
      <c r="M68">
        <v>12719</v>
      </c>
      <c r="N68">
        <v>13448</v>
      </c>
      <c r="O68">
        <v>16093</v>
      </c>
      <c r="P68" s="1">
        <v>449.15</v>
      </c>
      <c r="Q68" s="1">
        <v>482.99</v>
      </c>
      <c r="R68" s="1">
        <v>937.42</v>
      </c>
      <c r="S68" s="1">
        <v>1619.59</v>
      </c>
      <c r="T68" s="1">
        <v>2686.2</v>
      </c>
      <c r="U68" s="1">
        <v>3417.72</v>
      </c>
      <c r="V68">
        <v>5302</v>
      </c>
      <c r="W68">
        <v>7249</v>
      </c>
      <c r="X68">
        <v>7724</v>
      </c>
      <c r="Y68">
        <v>9451</v>
      </c>
      <c r="Z68">
        <v>11753</v>
      </c>
      <c r="AA68">
        <v>16616</v>
      </c>
      <c r="AB68">
        <v>17725</v>
      </c>
      <c r="AC68">
        <v>21783</v>
      </c>
    </row>
    <row r="69" spans="1:29" ht="12.75">
      <c r="A69">
        <v>68</v>
      </c>
      <c r="B69" s="1">
        <v>422.94</v>
      </c>
      <c r="C69" s="1">
        <v>454.87</v>
      </c>
      <c r="D69" s="1">
        <v>862.36</v>
      </c>
      <c r="E69" s="1">
        <v>1467.11</v>
      </c>
      <c r="F69" s="1">
        <v>2392.95</v>
      </c>
      <c r="G69" s="1">
        <v>3013.64</v>
      </c>
      <c r="H69">
        <v>4587</v>
      </c>
      <c r="I69">
        <v>6165</v>
      </c>
      <c r="J69">
        <v>6522</v>
      </c>
      <c r="K69">
        <v>7810</v>
      </c>
      <c r="L69">
        <v>9482</v>
      </c>
      <c r="M69">
        <v>12868</v>
      </c>
      <c r="N69">
        <v>13604</v>
      </c>
      <c r="O69">
        <v>16277</v>
      </c>
      <c r="P69" s="1">
        <v>454.67</v>
      </c>
      <c r="Q69" s="1">
        <v>488.92</v>
      </c>
      <c r="R69" s="1">
        <v>949.97</v>
      </c>
      <c r="S69" s="1">
        <v>1642.45</v>
      </c>
      <c r="T69" s="1">
        <v>2726.13</v>
      </c>
      <c r="U69" s="1">
        <v>3469.85</v>
      </c>
      <c r="V69">
        <v>5387</v>
      </c>
      <c r="W69">
        <v>7369</v>
      </c>
      <c r="X69">
        <v>7852</v>
      </c>
      <c r="Y69">
        <v>9611</v>
      </c>
      <c r="Z69">
        <v>11956</v>
      </c>
      <c r="AA69">
        <v>16911</v>
      </c>
      <c r="AB69">
        <v>18043</v>
      </c>
      <c r="AC69">
        <v>22181</v>
      </c>
    </row>
    <row r="70" spans="1:29" ht="12.75">
      <c r="A70">
        <v>69</v>
      </c>
      <c r="B70" s="1">
        <v>427.98</v>
      </c>
      <c r="C70" s="1">
        <v>460.22</v>
      </c>
      <c r="D70" s="1">
        <v>872.61</v>
      </c>
      <c r="E70" s="1">
        <v>1484.69</v>
      </c>
      <c r="F70" s="1">
        <v>2421.83</v>
      </c>
      <c r="G70" s="1">
        <v>3049.9</v>
      </c>
      <c r="H70">
        <v>4643</v>
      </c>
      <c r="I70">
        <v>6240</v>
      </c>
      <c r="J70">
        <v>6602</v>
      </c>
      <c r="K70">
        <v>7907</v>
      </c>
      <c r="L70">
        <v>9598</v>
      </c>
      <c r="M70">
        <v>13026</v>
      </c>
      <c r="N70">
        <v>13770</v>
      </c>
      <c r="O70">
        <v>16470</v>
      </c>
      <c r="P70" s="1">
        <v>460.38</v>
      </c>
      <c r="Q70" s="1">
        <v>495.14</v>
      </c>
      <c r="R70" s="1">
        <v>962.87</v>
      </c>
      <c r="S70" s="1">
        <v>1665.96</v>
      </c>
      <c r="T70" s="1">
        <v>2767.26</v>
      </c>
      <c r="U70" s="1">
        <v>3524.1</v>
      </c>
      <c r="V70">
        <v>5475</v>
      </c>
      <c r="W70">
        <v>7494</v>
      </c>
      <c r="X70">
        <v>7986</v>
      </c>
      <c r="Y70">
        <v>9777</v>
      </c>
      <c r="Z70">
        <v>12167</v>
      </c>
      <c r="AA70">
        <v>17222</v>
      </c>
      <c r="AB70">
        <v>18379</v>
      </c>
      <c r="AC70">
        <v>22600</v>
      </c>
    </row>
    <row r="71" spans="1:29" ht="12.75">
      <c r="A71">
        <v>70</v>
      </c>
      <c r="B71" s="1">
        <v>433.14</v>
      </c>
      <c r="C71" s="1">
        <v>465.77</v>
      </c>
      <c r="D71" s="1">
        <v>883.1</v>
      </c>
      <c r="E71" s="1">
        <v>1502.91</v>
      </c>
      <c r="F71" s="1">
        <v>2451.76</v>
      </c>
      <c r="G71" s="1">
        <v>3087.89</v>
      </c>
      <c r="H71">
        <v>4701</v>
      </c>
      <c r="I71">
        <v>6320</v>
      </c>
      <c r="J71">
        <v>6686</v>
      </c>
      <c r="K71">
        <v>8007</v>
      </c>
      <c r="L71">
        <v>9722</v>
      </c>
      <c r="M71">
        <v>13191</v>
      </c>
      <c r="N71">
        <v>13945</v>
      </c>
      <c r="O71">
        <v>16676</v>
      </c>
      <c r="P71" s="1">
        <v>466.37</v>
      </c>
      <c r="Q71" s="1">
        <v>501.66</v>
      </c>
      <c r="R71" s="1">
        <v>976.4</v>
      </c>
      <c r="S71" s="1">
        <v>1690.88</v>
      </c>
      <c r="T71" s="1">
        <v>2810.87</v>
      </c>
      <c r="U71" s="1">
        <v>3580.59</v>
      </c>
      <c r="V71">
        <v>5567</v>
      </c>
      <c r="W71">
        <v>7624</v>
      </c>
      <c r="X71">
        <v>8126</v>
      </c>
      <c r="Y71">
        <v>9952</v>
      </c>
      <c r="Z71">
        <v>12390</v>
      </c>
      <c r="AA71">
        <v>17548</v>
      </c>
      <c r="AB71">
        <v>18727</v>
      </c>
      <c r="AC71">
        <v>23039</v>
      </c>
    </row>
    <row r="72" spans="1:29" ht="12.75">
      <c r="A72">
        <v>71</v>
      </c>
      <c r="B72" s="1">
        <v>438.42</v>
      </c>
      <c r="C72" s="1">
        <v>471.51</v>
      </c>
      <c r="D72" s="1">
        <v>894.11</v>
      </c>
      <c r="E72" s="1">
        <v>1521.59</v>
      </c>
      <c r="F72" s="1">
        <v>2482.78</v>
      </c>
      <c r="G72" s="1">
        <v>3127.28</v>
      </c>
      <c r="H72">
        <v>4763</v>
      </c>
      <c r="I72">
        <v>6403</v>
      </c>
      <c r="J72">
        <v>6774</v>
      </c>
      <c r="K72">
        <v>8114</v>
      </c>
      <c r="L72">
        <v>9849</v>
      </c>
      <c r="M72">
        <v>13364</v>
      </c>
      <c r="N72">
        <v>14128</v>
      </c>
      <c r="O72">
        <v>16892</v>
      </c>
      <c r="P72" s="1">
        <v>472.58</v>
      </c>
      <c r="Q72" s="1">
        <v>508.36</v>
      </c>
      <c r="R72" s="1">
        <v>990.31</v>
      </c>
      <c r="S72" s="1">
        <v>1716.56</v>
      </c>
      <c r="T72" s="1">
        <v>2855.88</v>
      </c>
      <c r="U72" s="1">
        <v>3639.46</v>
      </c>
      <c r="V72">
        <v>5662</v>
      </c>
      <c r="W72">
        <v>7760</v>
      </c>
      <c r="X72">
        <v>8271</v>
      </c>
      <c r="Y72">
        <v>10136</v>
      </c>
      <c r="Z72">
        <v>12623</v>
      </c>
      <c r="AA72">
        <v>17888</v>
      </c>
      <c r="AB72">
        <v>19095</v>
      </c>
      <c r="AC72">
        <v>23500</v>
      </c>
    </row>
    <row r="73" spans="1:29" ht="12.75">
      <c r="A73">
        <v>72</v>
      </c>
      <c r="B73" s="1">
        <v>443.97</v>
      </c>
      <c r="C73" s="1">
        <v>477.47</v>
      </c>
      <c r="D73" s="1">
        <v>905.39</v>
      </c>
      <c r="E73" s="1">
        <v>1541.18</v>
      </c>
      <c r="F73" s="1">
        <v>2515.31</v>
      </c>
      <c r="G73" s="1">
        <v>3168.13</v>
      </c>
      <c r="H73">
        <v>4826</v>
      </c>
      <c r="I73">
        <v>6489</v>
      </c>
      <c r="J73">
        <v>6865</v>
      </c>
      <c r="K73">
        <v>8224</v>
      </c>
      <c r="L73">
        <v>9985</v>
      </c>
      <c r="M73">
        <v>13548</v>
      </c>
      <c r="N73">
        <v>14321</v>
      </c>
      <c r="O73">
        <v>17122</v>
      </c>
      <c r="P73" s="1">
        <v>479.03</v>
      </c>
      <c r="Q73" s="1">
        <v>515.38</v>
      </c>
      <c r="R73" s="1">
        <v>1005.06</v>
      </c>
      <c r="S73" s="1">
        <v>1743.28</v>
      </c>
      <c r="T73" s="1">
        <v>2902.79</v>
      </c>
      <c r="U73" s="1">
        <v>3700.86</v>
      </c>
      <c r="V73">
        <v>5763</v>
      </c>
      <c r="W73">
        <v>7903</v>
      </c>
      <c r="X73">
        <v>8424</v>
      </c>
      <c r="Y73">
        <v>10327</v>
      </c>
      <c r="Z73">
        <v>12867</v>
      </c>
      <c r="AA73">
        <v>18248</v>
      </c>
      <c r="AB73">
        <v>19480</v>
      </c>
      <c r="AC73">
        <v>23986</v>
      </c>
    </row>
    <row r="74" spans="1:29" ht="12.75">
      <c r="A74">
        <v>73</v>
      </c>
      <c r="B74" s="1">
        <v>449.65</v>
      </c>
      <c r="C74" s="1">
        <v>483.59</v>
      </c>
      <c r="D74" s="1">
        <v>917.1</v>
      </c>
      <c r="E74" s="1">
        <v>1561.27</v>
      </c>
      <c r="F74" s="1">
        <v>2548.71</v>
      </c>
      <c r="G74" s="1">
        <v>3211</v>
      </c>
      <c r="H74">
        <v>4892</v>
      </c>
      <c r="I74">
        <v>6579</v>
      </c>
      <c r="J74">
        <v>6962</v>
      </c>
      <c r="K74">
        <v>8339</v>
      </c>
      <c r="L74">
        <v>10127</v>
      </c>
      <c r="M74">
        <v>13741</v>
      </c>
      <c r="N74">
        <v>14526</v>
      </c>
      <c r="O74">
        <v>17364</v>
      </c>
      <c r="P74" s="1">
        <v>485.73</v>
      </c>
      <c r="Q74" s="1">
        <v>522.67</v>
      </c>
      <c r="R74" s="1">
        <v>1020.26</v>
      </c>
      <c r="S74" s="1">
        <v>1771.38</v>
      </c>
      <c r="T74" s="1">
        <v>2952.16</v>
      </c>
      <c r="U74" s="1">
        <v>3765.52</v>
      </c>
      <c r="V74">
        <v>5869</v>
      </c>
      <c r="W74">
        <v>8052</v>
      </c>
      <c r="X74">
        <v>8585</v>
      </c>
      <c r="Y74">
        <v>10528</v>
      </c>
      <c r="Z74">
        <v>13123</v>
      </c>
      <c r="AA74">
        <v>18626</v>
      </c>
      <c r="AB74">
        <v>19885</v>
      </c>
      <c r="AC74">
        <v>24494</v>
      </c>
    </row>
    <row r="75" spans="1:29" ht="12.75">
      <c r="A75">
        <v>74</v>
      </c>
      <c r="B75" s="1">
        <v>455.55</v>
      </c>
      <c r="C75" s="1">
        <v>489.93</v>
      </c>
      <c r="D75" s="1">
        <v>929.24</v>
      </c>
      <c r="E75" s="1">
        <v>1582.13</v>
      </c>
      <c r="F75" s="1">
        <v>2583.38</v>
      </c>
      <c r="G75" s="1">
        <v>3255.03</v>
      </c>
      <c r="H75">
        <v>4961</v>
      </c>
      <c r="I75">
        <v>6674</v>
      </c>
      <c r="J75">
        <v>7061</v>
      </c>
      <c r="K75">
        <v>8461</v>
      </c>
      <c r="L75">
        <v>10276</v>
      </c>
      <c r="M75">
        <v>13946</v>
      </c>
      <c r="N75">
        <v>14741</v>
      </c>
      <c r="O75">
        <v>17619</v>
      </c>
      <c r="P75" s="1">
        <v>492.76</v>
      </c>
      <c r="Q75" s="1">
        <v>530.25</v>
      </c>
      <c r="R75" s="1">
        <v>1036.08</v>
      </c>
      <c r="S75" s="1">
        <v>1800.67</v>
      </c>
      <c r="T75" s="1">
        <v>3003.71</v>
      </c>
      <c r="U75" s="1">
        <v>3833.07</v>
      </c>
      <c r="V75">
        <v>5979</v>
      </c>
      <c r="W75">
        <v>8209</v>
      </c>
      <c r="X75">
        <v>8754</v>
      </c>
      <c r="Y75">
        <v>10740</v>
      </c>
      <c r="Z75">
        <v>13392</v>
      </c>
      <c r="AA75">
        <v>19023</v>
      </c>
      <c r="AB75">
        <v>20310</v>
      </c>
      <c r="AC75">
        <v>25031</v>
      </c>
    </row>
    <row r="76" spans="1:29" ht="12.75">
      <c r="A76">
        <v>75</v>
      </c>
      <c r="B76" s="1">
        <v>461.68</v>
      </c>
      <c r="C76" s="1">
        <v>496.52</v>
      </c>
      <c r="D76" s="1">
        <v>941.86</v>
      </c>
      <c r="E76" s="1">
        <v>1604.03</v>
      </c>
      <c r="F76" s="1">
        <v>2619.4</v>
      </c>
      <c r="G76" s="1">
        <v>3301.27</v>
      </c>
      <c r="H76">
        <v>5033</v>
      </c>
      <c r="I76">
        <v>6772</v>
      </c>
      <c r="J76">
        <v>7166</v>
      </c>
      <c r="K76">
        <v>8588</v>
      </c>
      <c r="L76">
        <v>10431</v>
      </c>
      <c r="M76">
        <v>14160</v>
      </c>
      <c r="N76">
        <v>14969</v>
      </c>
      <c r="O76">
        <v>17892</v>
      </c>
      <c r="P76" s="1">
        <v>500.07</v>
      </c>
      <c r="Q76" s="1">
        <v>538.13</v>
      </c>
      <c r="R76" s="1">
        <v>1052.71</v>
      </c>
      <c r="S76" s="1">
        <v>1831.22</v>
      </c>
      <c r="T76" s="1">
        <v>3058.05</v>
      </c>
      <c r="U76" s="1">
        <v>3903.72</v>
      </c>
      <c r="V76">
        <v>6096</v>
      </c>
      <c r="W76">
        <v>8376</v>
      </c>
      <c r="X76">
        <v>8932</v>
      </c>
      <c r="Y76">
        <v>10962</v>
      </c>
      <c r="Z76">
        <v>13676</v>
      </c>
      <c r="AA76">
        <v>19441</v>
      </c>
      <c r="AB76">
        <v>20761</v>
      </c>
      <c r="AC76">
        <v>25598</v>
      </c>
    </row>
    <row r="77" spans="1:29" ht="12.75">
      <c r="A77">
        <v>76</v>
      </c>
      <c r="B77" s="1">
        <v>467.97</v>
      </c>
      <c r="C77" s="1">
        <v>503.29</v>
      </c>
      <c r="D77" s="1">
        <v>954.96</v>
      </c>
      <c r="E77" s="1">
        <v>1626.55</v>
      </c>
      <c r="F77" s="1">
        <v>2656.84</v>
      </c>
      <c r="G77" s="1">
        <v>3348.84</v>
      </c>
      <c r="H77">
        <v>5108</v>
      </c>
      <c r="I77">
        <v>6876</v>
      </c>
      <c r="J77">
        <v>7276</v>
      </c>
      <c r="K77">
        <v>8721</v>
      </c>
      <c r="L77">
        <v>10595</v>
      </c>
      <c r="M77">
        <v>14387</v>
      </c>
      <c r="N77">
        <v>15208</v>
      </c>
      <c r="O77">
        <v>18179</v>
      </c>
      <c r="P77" s="1">
        <v>507.68</v>
      </c>
      <c r="Q77" s="1">
        <v>546.42</v>
      </c>
      <c r="R77" s="1">
        <v>1070.05</v>
      </c>
      <c r="S77" s="1">
        <v>1863.42</v>
      </c>
      <c r="T77" s="1">
        <v>3114.39</v>
      </c>
      <c r="U77" s="1">
        <v>3978.3</v>
      </c>
      <c r="V77">
        <v>6218</v>
      </c>
      <c r="W77">
        <v>8549</v>
      </c>
      <c r="X77">
        <v>9119</v>
      </c>
      <c r="Y77">
        <v>11195</v>
      </c>
      <c r="Z77">
        <v>13975</v>
      </c>
      <c r="AA77">
        <v>19881</v>
      </c>
      <c r="AB77">
        <v>21236</v>
      </c>
      <c r="AC77">
        <v>26200</v>
      </c>
    </row>
    <row r="78" spans="1:29" ht="12.75">
      <c r="A78">
        <v>77</v>
      </c>
      <c r="B78" s="1">
        <v>474.51</v>
      </c>
      <c r="C78" s="1">
        <v>510.4</v>
      </c>
      <c r="D78" s="1">
        <v>968.44</v>
      </c>
      <c r="E78" s="1">
        <v>1649.96</v>
      </c>
      <c r="F78" s="1">
        <v>2696.18</v>
      </c>
      <c r="G78" s="1">
        <v>3398.84</v>
      </c>
      <c r="H78">
        <v>5186</v>
      </c>
      <c r="I78">
        <v>6984</v>
      </c>
      <c r="J78">
        <v>7391</v>
      </c>
      <c r="K78">
        <v>8861</v>
      </c>
      <c r="L78">
        <v>10768</v>
      </c>
      <c r="M78">
        <v>14626</v>
      </c>
      <c r="N78">
        <v>15462</v>
      </c>
      <c r="O78">
        <v>18483</v>
      </c>
      <c r="P78" s="1">
        <v>515.61</v>
      </c>
      <c r="Q78" s="1">
        <v>555.04</v>
      </c>
      <c r="R78" s="1">
        <v>1088.32</v>
      </c>
      <c r="S78" s="1">
        <v>1896.77</v>
      </c>
      <c r="T78" s="1">
        <v>3173.88</v>
      </c>
      <c r="U78" s="1">
        <v>4056.46</v>
      </c>
      <c r="V78">
        <v>6346</v>
      </c>
      <c r="W78">
        <v>8732</v>
      </c>
      <c r="X78">
        <v>9315</v>
      </c>
      <c r="Y78">
        <v>11442</v>
      </c>
      <c r="Z78">
        <v>14290</v>
      </c>
      <c r="AA78">
        <v>20348</v>
      </c>
      <c r="AB78">
        <v>21737</v>
      </c>
      <c r="AC78">
        <v>26836</v>
      </c>
    </row>
    <row r="79" spans="1:29" ht="12.75">
      <c r="A79">
        <v>78</v>
      </c>
      <c r="B79" s="1">
        <v>481.31</v>
      </c>
      <c r="C79" s="1">
        <v>517.71</v>
      </c>
      <c r="D79" s="1">
        <v>982.6</v>
      </c>
      <c r="E79" s="1">
        <v>1674.32</v>
      </c>
      <c r="F79" s="1">
        <v>2736.71</v>
      </c>
      <c r="G79" s="1">
        <v>3450.89</v>
      </c>
      <c r="H79">
        <v>5269</v>
      </c>
      <c r="I79">
        <v>7097</v>
      </c>
      <c r="J79">
        <v>7511</v>
      </c>
      <c r="K79">
        <v>9008</v>
      </c>
      <c r="L79">
        <v>10950</v>
      </c>
      <c r="M79">
        <v>14880</v>
      </c>
      <c r="N79">
        <v>15732</v>
      </c>
      <c r="O79">
        <v>18806</v>
      </c>
      <c r="P79" s="1">
        <v>523.86</v>
      </c>
      <c r="Q79" s="1">
        <v>564.04</v>
      </c>
      <c r="R79" s="1">
        <v>1107.22</v>
      </c>
      <c r="S79" s="1">
        <v>1931.97</v>
      </c>
      <c r="T79" s="1">
        <v>3236.22</v>
      </c>
      <c r="U79" s="1">
        <v>4138.45</v>
      </c>
      <c r="V79">
        <v>6481</v>
      </c>
      <c r="W79">
        <v>8925</v>
      </c>
      <c r="X79">
        <v>9521</v>
      </c>
      <c r="Y79">
        <v>11703</v>
      </c>
      <c r="Z79">
        <v>14624</v>
      </c>
      <c r="AA79">
        <v>20842</v>
      </c>
      <c r="AB79">
        <v>22271</v>
      </c>
      <c r="AC79">
        <v>27503</v>
      </c>
    </row>
    <row r="80" spans="1:29" ht="12.75">
      <c r="A80">
        <v>79</v>
      </c>
      <c r="B80" s="1">
        <v>488.38</v>
      </c>
      <c r="C80" s="1">
        <v>525.32</v>
      </c>
      <c r="D80" s="1">
        <v>997.19</v>
      </c>
      <c r="E80" s="1">
        <v>1699.67</v>
      </c>
      <c r="F80" s="1">
        <v>2779.35</v>
      </c>
      <c r="G80" s="1">
        <v>3505.11</v>
      </c>
      <c r="H80">
        <v>5354</v>
      </c>
      <c r="I80">
        <v>7215</v>
      </c>
      <c r="J80">
        <v>7638</v>
      </c>
      <c r="K80">
        <v>9163</v>
      </c>
      <c r="L80">
        <v>11141</v>
      </c>
      <c r="M80">
        <v>15147</v>
      </c>
      <c r="N80">
        <v>16015</v>
      </c>
      <c r="O80">
        <v>19151</v>
      </c>
      <c r="P80" s="1">
        <v>532.55</v>
      </c>
      <c r="Q80" s="1">
        <v>573.42</v>
      </c>
      <c r="R80" s="1">
        <v>1127.15</v>
      </c>
      <c r="S80" s="1">
        <v>1969.14</v>
      </c>
      <c r="T80" s="1">
        <v>3301.63</v>
      </c>
      <c r="U80" s="1">
        <v>4224.55</v>
      </c>
      <c r="V80">
        <v>6623</v>
      </c>
      <c r="W80">
        <v>9128</v>
      </c>
      <c r="X80">
        <v>9741</v>
      </c>
      <c r="Y80">
        <v>11978</v>
      </c>
      <c r="Z80">
        <v>14978</v>
      </c>
      <c r="AA80">
        <v>21365</v>
      </c>
      <c r="AB80">
        <v>22832</v>
      </c>
      <c r="AC80">
        <v>28221</v>
      </c>
    </row>
    <row r="81" spans="1:29" ht="12.75">
      <c r="A81">
        <v>80</v>
      </c>
      <c r="B81" s="1">
        <v>495.67</v>
      </c>
      <c r="C81" s="1">
        <v>533.16</v>
      </c>
      <c r="D81" s="1">
        <v>1012.38</v>
      </c>
      <c r="E81" s="1">
        <v>1725.8</v>
      </c>
      <c r="F81" s="1">
        <v>2823.34</v>
      </c>
      <c r="G81" s="1">
        <v>3561.62</v>
      </c>
      <c r="H81">
        <v>5444</v>
      </c>
      <c r="I81">
        <v>7341</v>
      </c>
      <c r="J81">
        <v>7771</v>
      </c>
      <c r="K81">
        <v>9325</v>
      </c>
      <c r="L81">
        <v>11343</v>
      </c>
      <c r="M81">
        <v>15431</v>
      </c>
      <c r="N81">
        <v>16317</v>
      </c>
      <c r="O81">
        <v>19515</v>
      </c>
      <c r="P81" s="1">
        <v>541.63</v>
      </c>
      <c r="Q81" s="1">
        <v>583.31</v>
      </c>
      <c r="R81" s="1">
        <v>1148</v>
      </c>
      <c r="S81" s="1">
        <v>2007.78</v>
      </c>
      <c r="T81" s="1">
        <v>3370.9</v>
      </c>
      <c r="U81" s="1">
        <v>4315.07</v>
      </c>
      <c r="V81">
        <v>6773</v>
      </c>
      <c r="W81">
        <v>9343</v>
      </c>
      <c r="X81">
        <v>9972</v>
      </c>
      <c r="Y81">
        <v>12268</v>
      </c>
      <c r="Z81">
        <v>15352</v>
      </c>
      <c r="AA81">
        <v>21923</v>
      </c>
      <c r="AB81">
        <v>23430</v>
      </c>
      <c r="AC81">
        <v>28977</v>
      </c>
    </row>
    <row r="82" spans="1:29" ht="12.75">
      <c r="A82">
        <v>81</v>
      </c>
      <c r="B82" s="1">
        <v>503.34</v>
      </c>
      <c r="C82" s="1">
        <v>541.41</v>
      </c>
      <c r="D82" s="1">
        <v>1028.04</v>
      </c>
      <c r="E82" s="1">
        <v>1753.32</v>
      </c>
      <c r="F82" s="1">
        <v>2869.68</v>
      </c>
      <c r="G82" s="1">
        <v>3621.17</v>
      </c>
      <c r="H82">
        <v>5538</v>
      </c>
      <c r="I82">
        <v>7472</v>
      </c>
      <c r="J82">
        <v>7911</v>
      </c>
      <c r="K82">
        <v>9496</v>
      </c>
      <c r="L82">
        <v>11556</v>
      </c>
      <c r="M82">
        <v>15731</v>
      </c>
      <c r="N82">
        <v>16635</v>
      </c>
      <c r="O82">
        <v>19903</v>
      </c>
      <c r="P82" s="1">
        <v>551.1</v>
      </c>
      <c r="Q82" s="1">
        <v>593.64</v>
      </c>
      <c r="R82" s="1">
        <v>1169.84</v>
      </c>
      <c r="S82" s="1">
        <v>2048.67</v>
      </c>
      <c r="T82" s="1">
        <v>3443.76</v>
      </c>
      <c r="U82" s="1">
        <v>4411.13</v>
      </c>
      <c r="V82">
        <v>6933</v>
      </c>
      <c r="W82">
        <v>9571</v>
      </c>
      <c r="X82">
        <v>10217</v>
      </c>
      <c r="Y82">
        <v>12578</v>
      </c>
      <c r="Z82">
        <v>15748</v>
      </c>
      <c r="AA82">
        <v>22515</v>
      </c>
      <c r="AB82">
        <v>24071</v>
      </c>
      <c r="AC82">
        <v>29787</v>
      </c>
    </row>
    <row r="83" spans="1:29" ht="12.75">
      <c r="A83">
        <v>82</v>
      </c>
      <c r="B83" s="1">
        <v>511.25</v>
      </c>
      <c r="C83" s="1">
        <v>549.92</v>
      </c>
      <c r="D83" s="1">
        <v>1044.53</v>
      </c>
      <c r="E83" s="1">
        <v>1782.02</v>
      </c>
      <c r="F83" s="1">
        <v>2917.56</v>
      </c>
      <c r="G83" s="1">
        <v>3682.73</v>
      </c>
      <c r="H83">
        <v>5636</v>
      </c>
      <c r="I83">
        <v>7609</v>
      </c>
      <c r="J83">
        <v>8057</v>
      </c>
      <c r="K83">
        <v>9677</v>
      </c>
      <c r="L83">
        <v>11783</v>
      </c>
      <c r="M83">
        <v>16048</v>
      </c>
      <c r="N83">
        <v>16975</v>
      </c>
      <c r="O83">
        <v>20316</v>
      </c>
      <c r="P83" s="1">
        <v>561.11</v>
      </c>
      <c r="Q83" s="1">
        <v>604.44</v>
      </c>
      <c r="R83" s="1">
        <v>1192.93</v>
      </c>
      <c r="S83" s="1">
        <v>2091.63</v>
      </c>
      <c r="T83" s="1">
        <v>3520.46</v>
      </c>
      <c r="U83" s="1">
        <v>4512.4</v>
      </c>
      <c r="V83">
        <v>7100</v>
      </c>
      <c r="W83">
        <v>9813</v>
      </c>
      <c r="X83">
        <v>10476</v>
      </c>
      <c r="Y83">
        <v>12906</v>
      </c>
      <c r="Z83">
        <v>16168</v>
      </c>
      <c r="AA83">
        <v>23140</v>
      </c>
      <c r="AB83">
        <v>24748</v>
      </c>
      <c r="AC83">
        <v>30644</v>
      </c>
    </row>
    <row r="84" spans="1:29" ht="12.75">
      <c r="A84">
        <v>83</v>
      </c>
      <c r="B84" s="1">
        <v>519.42</v>
      </c>
      <c r="C84" s="1">
        <v>558.79</v>
      </c>
      <c r="D84" s="1">
        <v>1061.57</v>
      </c>
      <c r="E84" s="1">
        <v>1811.68</v>
      </c>
      <c r="F84" s="1">
        <v>2968.07</v>
      </c>
      <c r="G84" s="1">
        <v>3747.69</v>
      </c>
      <c r="H84">
        <v>5739</v>
      </c>
      <c r="I84">
        <v>7754</v>
      </c>
      <c r="J84">
        <v>8212</v>
      </c>
      <c r="K84">
        <v>9867</v>
      </c>
      <c r="L84">
        <v>12021</v>
      </c>
      <c r="M84">
        <v>16389</v>
      </c>
      <c r="N84">
        <v>17336</v>
      </c>
      <c r="O84">
        <v>20756</v>
      </c>
      <c r="P84" s="1">
        <v>571.57</v>
      </c>
      <c r="Q84" s="1">
        <v>615.75</v>
      </c>
      <c r="R84" s="1">
        <v>1216.95</v>
      </c>
      <c r="S84" s="1">
        <v>2136.81</v>
      </c>
      <c r="T84" s="1">
        <v>3601.33</v>
      </c>
      <c r="U84" s="1">
        <v>4619.29</v>
      </c>
      <c r="V84">
        <v>7279</v>
      </c>
      <c r="W84">
        <v>10069</v>
      </c>
      <c r="X84">
        <v>10753</v>
      </c>
      <c r="Y84">
        <v>13255</v>
      </c>
      <c r="Z84">
        <v>16618</v>
      </c>
      <c r="AA84">
        <v>23816</v>
      </c>
      <c r="AB84">
        <v>25474</v>
      </c>
      <c r="AC84">
        <v>31571</v>
      </c>
    </row>
    <row r="85" spans="1:29" ht="12.75">
      <c r="A85">
        <v>84</v>
      </c>
      <c r="B85" s="1">
        <v>528.02</v>
      </c>
      <c r="C85" s="1">
        <v>567.96</v>
      </c>
      <c r="D85" s="1">
        <v>1079.35</v>
      </c>
      <c r="E85" s="1">
        <v>1842.98</v>
      </c>
      <c r="F85" s="1">
        <v>3020.87</v>
      </c>
      <c r="G85" s="1">
        <v>3815.63</v>
      </c>
      <c r="H85">
        <v>5848</v>
      </c>
      <c r="I85">
        <v>7908</v>
      </c>
      <c r="J85">
        <v>8376</v>
      </c>
      <c r="K85">
        <v>10068</v>
      </c>
      <c r="L85">
        <v>12272</v>
      </c>
      <c r="M85">
        <v>16747</v>
      </c>
      <c r="N85">
        <v>17720</v>
      </c>
      <c r="O85">
        <v>21226</v>
      </c>
      <c r="P85" s="1">
        <v>582.54</v>
      </c>
      <c r="Q85" s="1">
        <v>627.71</v>
      </c>
      <c r="R85" s="1">
        <v>1242.4</v>
      </c>
      <c r="S85" s="1">
        <v>2184.39</v>
      </c>
      <c r="T85" s="1">
        <v>3686.71</v>
      </c>
      <c r="U85" s="1">
        <v>4732.28</v>
      </c>
      <c r="V85">
        <v>7468</v>
      </c>
      <c r="W85">
        <v>10343</v>
      </c>
      <c r="X85">
        <v>11047</v>
      </c>
      <c r="Y85">
        <v>13625</v>
      </c>
      <c r="Z85">
        <v>17098</v>
      </c>
      <c r="AA85">
        <v>24532</v>
      </c>
      <c r="AB85">
        <v>26245</v>
      </c>
      <c r="AC85">
        <v>32557</v>
      </c>
    </row>
    <row r="86" spans="1:29" ht="12.75">
      <c r="A86">
        <v>85</v>
      </c>
      <c r="B86" s="1">
        <v>536.92</v>
      </c>
      <c r="C86" s="1">
        <v>577.53</v>
      </c>
      <c r="D86" s="1">
        <v>1097.93</v>
      </c>
      <c r="E86" s="1">
        <v>1875.37</v>
      </c>
      <c r="F86" s="1">
        <v>3075.58</v>
      </c>
      <c r="G86" s="1">
        <v>3886.76</v>
      </c>
      <c r="H86">
        <v>5963</v>
      </c>
      <c r="I86">
        <v>8068</v>
      </c>
      <c r="J86">
        <v>8547</v>
      </c>
      <c r="K86">
        <v>10281</v>
      </c>
      <c r="L86">
        <v>12541</v>
      </c>
      <c r="M86">
        <v>17133</v>
      </c>
      <c r="N86">
        <v>18130</v>
      </c>
      <c r="O86">
        <v>21729</v>
      </c>
      <c r="P86" s="1">
        <v>594.04</v>
      </c>
      <c r="Q86" s="1">
        <v>640.14</v>
      </c>
      <c r="R86" s="1">
        <v>1269.17</v>
      </c>
      <c r="S86" s="1">
        <v>2234.98</v>
      </c>
      <c r="T86" s="1">
        <v>3777.69</v>
      </c>
      <c r="U86" s="1">
        <v>4852.85</v>
      </c>
      <c r="V86">
        <v>7669</v>
      </c>
      <c r="W86">
        <v>10633</v>
      </c>
      <c r="X86">
        <v>11360</v>
      </c>
      <c r="Y86">
        <v>14023</v>
      </c>
      <c r="Z86">
        <v>17610</v>
      </c>
      <c r="AA86">
        <v>25305</v>
      </c>
      <c r="AB86">
        <v>27075</v>
      </c>
      <c r="AC86">
        <v>33614</v>
      </c>
    </row>
    <row r="87" spans="1:29" ht="12.75">
      <c r="A87">
        <v>86</v>
      </c>
      <c r="B87" s="1">
        <v>546.23</v>
      </c>
      <c r="C87" s="1">
        <v>587.64</v>
      </c>
      <c r="D87" s="1">
        <v>1117.36</v>
      </c>
      <c r="E87" s="1">
        <v>1909.27</v>
      </c>
      <c r="F87" s="1">
        <v>3133.43</v>
      </c>
      <c r="G87" s="1">
        <v>3961.29</v>
      </c>
      <c r="H87">
        <v>6083</v>
      </c>
      <c r="I87">
        <v>8239</v>
      </c>
      <c r="J87">
        <v>8729</v>
      </c>
      <c r="K87">
        <v>10507</v>
      </c>
      <c r="L87">
        <v>12825</v>
      </c>
      <c r="M87">
        <v>17540</v>
      </c>
      <c r="N87">
        <v>18566</v>
      </c>
      <c r="O87">
        <v>22268</v>
      </c>
      <c r="P87" s="1">
        <v>606.12</v>
      </c>
      <c r="Q87" s="1">
        <v>653.43</v>
      </c>
      <c r="R87" s="1">
        <v>1297.61</v>
      </c>
      <c r="S87" s="1">
        <v>2288.41</v>
      </c>
      <c r="T87" s="1">
        <v>3874.05</v>
      </c>
      <c r="U87" s="1">
        <v>4980.74</v>
      </c>
      <c r="V87">
        <v>7883</v>
      </c>
      <c r="W87">
        <v>10944</v>
      </c>
      <c r="X87">
        <v>11694</v>
      </c>
      <c r="Y87">
        <v>14449</v>
      </c>
      <c r="Z87">
        <v>18157</v>
      </c>
      <c r="AA87">
        <v>26133</v>
      </c>
      <c r="AB87">
        <v>27973</v>
      </c>
      <c r="AC87">
        <v>34758</v>
      </c>
    </row>
    <row r="88" spans="1:29" ht="12.75">
      <c r="A88">
        <v>87</v>
      </c>
      <c r="B88" s="1">
        <v>555.96</v>
      </c>
      <c r="C88" s="1">
        <v>598</v>
      </c>
      <c r="D88" s="1">
        <v>1137.69</v>
      </c>
      <c r="E88" s="1">
        <v>1944.76</v>
      </c>
      <c r="F88" s="1">
        <v>3194.07</v>
      </c>
      <c r="G88" s="1">
        <v>4039.47</v>
      </c>
      <c r="H88">
        <v>6210</v>
      </c>
      <c r="I88">
        <v>8418</v>
      </c>
      <c r="J88">
        <v>8921</v>
      </c>
      <c r="K88">
        <v>10747</v>
      </c>
      <c r="L88">
        <v>13126</v>
      </c>
      <c r="M88">
        <v>17980</v>
      </c>
      <c r="N88">
        <v>19034</v>
      </c>
      <c r="O88">
        <v>22843</v>
      </c>
      <c r="P88" s="1">
        <v>618.92</v>
      </c>
      <c r="Q88" s="1">
        <v>667.28</v>
      </c>
      <c r="R88" s="1">
        <v>1327.6</v>
      </c>
      <c r="S88" s="1">
        <v>2344.92</v>
      </c>
      <c r="T88" s="1">
        <v>3976.27</v>
      </c>
      <c r="U88" s="1">
        <v>5116.62</v>
      </c>
      <c r="V88">
        <v>8113</v>
      </c>
      <c r="W88">
        <v>11276</v>
      </c>
      <c r="X88">
        <v>12054</v>
      </c>
      <c r="Y88">
        <v>14904</v>
      </c>
      <c r="Z88">
        <v>18748</v>
      </c>
      <c r="AA88">
        <v>27024</v>
      </c>
      <c r="AB88">
        <v>28933</v>
      </c>
      <c r="AC88">
        <v>35991</v>
      </c>
    </row>
    <row r="89" spans="1:29" ht="12.75">
      <c r="A89">
        <v>88</v>
      </c>
      <c r="B89" s="1">
        <v>566.04</v>
      </c>
      <c r="C89" s="1">
        <v>608.96</v>
      </c>
      <c r="D89" s="1">
        <v>1158.78</v>
      </c>
      <c r="E89" s="1">
        <v>1981.96</v>
      </c>
      <c r="F89" s="1">
        <v>3257.7</v>
      </c>
      <c r="G89" s="1">
        <v>4121.56</v>
      </c>
      <c r="H89">
        <v>6343</v>
      </c>
      <c r="I89">
        <v>8609</v>
      </c>
      <c r="J89">
        <v>9126</v>
      </c>
      <c r="K89">
        <v>11000</v>
      </c>
      <c r="L89">
        <v>13449</v>
      </c>
      <c r="M89">
        <v>18445</v>
      </c>
      <c r="N89">
        <v>19536</v>
      </c>
      <c r="O89">
        <v>23465</v>
      </c>
      <c r="P89" s="1">
        <v>632.39</v>
      </c>
      <c r="Q89" s="1">
        <v>681.86</v>
      </c>
      <c r="R89" s="1">
        <v>1359.28</v>
      </c>
      <c r="S89" s="1">
        <v>2404.78</v>
      </c>
      <c r="T89" s="1">
        <v>4084.89</v>
      </c>
      <c r="U89" s="1">
        <v>5261.24</v>
      </c>
      <c r="V89">
        <v>8358</v>
      </c>
      <c r="W89">
        <v>11635</v>
      </c>
      <c r="X89">
        <v>12439</v>
      </c>
      <c r="Y89">
        <v>15392</v>
      </c>
      <c r="Z89">
        <v>19384</v>
      </c>
      <c r="AA89">
        <v>27985</v>
      </c>
      <c r="AB89">
        <v>29975</v>
      </c>
      <c r="AC89">
        <v>37334</v>
      </c>
    </row>
    <row r="90" spans="1:29" ht="12.75">
      <c r="A90">
        <v>89</v>
      </c>
      <c r="B90" s="1">
        <v>576.71</v>
      </c>
      <c r="C90" s="1">
        <v>620.44</v>
      </c>
      <c r="D90" s="1">
        <v>1181.11</v>
      </c>
      <c r="E90" s="1">
        <v>2020.99</v>
      </c>
      <c r="F90" s="1">
        <v>3324.55</v>
      </c>
      <c r="G90" s="1">
        <v>4208.64</v>
      </c>
      <c r="H90">
        <v>6485</v>
      </c>
      <c r="I90">
        <v>8811</v>
      </c>
      <c r="J90">
        <v>9343</v>
      </c>
      <c r="K90">
        <v>11269</v>
      </c>
      <c r="L90">
        <v>13792</v>
      </c>
      <c r="M90">
        <v>18950</v>
      </c>
      <c r="N90">
        <v>20073</v>
      </c>
      <c r="O90">
        <v>24135</v>
      </c>
      <c r="P90" s="1">
        <v>646.58</v>
      </c>
      <c r="Q90" s="1">
        <v>697.36</v>
      </c>
      <c r="R90" s="1">
        <v>1392.79</v>
      </c>
      <c r="S90" s="1">
        <v>2468.8</v>
      </c>
      <c r="T90" s="1">
        <v>4201.43</v>
      </c>
      <c r="U90" s="1">
        <v>5416.67</v>
      </c>
      <c r="V90">
        <v>8620</v>
      </c>
      <c r="W90">
        <v>12017</v>
      </c>
      <c r="X90">
        <v>12853</v>
      </c>
      <c r="Y90">
        <v>15917</v>
      </c>
      <c r="Z90">
        <v>20069</v>
      </c>
      <c r="AA90">
        <v>29032</v>
      </c>
      <c r="AB90">
        <v>31104</v>
      </c>
      <c r="AC90">
        <v>38782</v>
      </c>
    </row>
    <row r="91" spans="1:29" ht="12.75">
      <c r="A91">
        <v>90</v>
      </c>
      <c r="B91" s="1">
        <v>587.79</v>
      </c>
      <c r="C91" s="1">
        <v>632.36</v>
      </c>
      <c r="D91" s="1">
        <v>1204.31</v>
      </c>
      <c r="E91" s="1">
        <v>2061.98</v>
      </c>
      <c r="F91" s="1">
        <v>3394.85</v>
      </c>
      <c r="G91" s="1">
        <v>4299.48</v>
      </c>
      <c r="H91">
        <v>6634</v>
      </c>
      <c r="I91">
        <v>9026</v>
      </c>
      <c r="J91">
        <v>9572</v>
      </c>
      <c r="K91">
        <v>11557</v>
      </c>
      <c r="L91">
        <v>14160</v>
      </c>
      <c r="M91">
        <v>19487</v>
      </c>
      <c r="N91">
        <v>20653</v>
      </c>
      <c r="O91">
        <v>24859</v>
      </c>
      <c r="P91" s="1">
        <v>661.56</v>
      </c>
      <c r="Q91" s="1">
        <v>713.72</v>
      </c>
      <c r="R91" s="1">
        <v>1428.28</v>
      </c>
      <c r="S91" s="1">
        <v>2536.87</v>
      </c>
      <c r="T91" s="1">
        <v>4325.77</v>
      </c>
      <c r="U91" s="1">
        <v>5582.82</v>
      </c>
      <c r="V91">
        <v>8902</v>
      </c>
      <c r="W91">
        <v>12430</v>
      </c>
      <c r="X91">
        <v>13298</v>
      </c>
      <c r="Y91">
        <v>16488</v>
      </c>
      <c r="Z91">
        <v>20810</v>
      </c>
      <c r="AA91">
        <v>30168</v>
      </c>
      <c r="AB91">
        <v>32338</v>
      </c>
      <c r="AC91">
        <v>40368</v>
      </c>
    </row>
    <row r="92" spans="1:29" ht="12.75">
      <c r="A92">
        <v>91</v>
      </c>
      <c r="B92" s="1">
        <v>599.3</v>
      </c>
      <c r="C92" s="1">
        <v>644.88</v>
      </c>
      <c r="D92" s="1">
        <v>1228.68</v>
      </c>
      <c r="E92" s="1">
        <v>2105.08</v>
      </c>
      <c r="F92" s="1">
        <v>3468.87</v>
      </c>
      <c r="G92" s="1">
        <v>4396.06</v>
      </c>
      <c r="H92">
        <v>6794</v>
      </c>
      <c r="I92">
        <v>9254</v>
      </c>
      <c r="J92">
        <v>9816</v>
      </c>
      <c r="K92">
        <v>11864</v>
      </c>
      <c r="L92">
        <v>14554</v>
      </c>
      <c r="M92">
        <v>20072</v>
      </c>
      <c r="N92">
        <v>21276</v>
      </c>
      <c r="O92">
        <v>25638</v>
      </c>
      <c r="P92" s="1">
        <v>677.52</v>
      </c>
      <c r="Q92" s="1">
        <v>731.02</v>
      </c>
      <c r="R92" s="1">
        <v>1466.24</v>
      </c>
      <c r="S92" s="1">
        <v>2609.36</v>
      </c>
      <c r="T92" s="1">
        <v>4458.72</v>
      </c>
      <c r="U92" s="1">
        <v>5760.84</v>
      </c>
      <c r="V92">
        <v>9207</v>
      </c>
      <c r="W92">
        <v>12877</v>
      </c>
      <c r="X92">
        <v>13782</v>
      </c>
      <c r="Y92">
        <v>17105</v>
      </c>
      <c r="Z92">
        <v>21619</v>
      </c>
      <c r="AA92">
        <v>31405</v>
      </c>
      <c r="AB92">
        <v>33674</v>
      </c>
      <c r="AC92">
        <v>42101</v>
      </c>
    </row>
    <row r="93" spans="1:29" ht="12.75">
      <c r="A93">
        <v>92</v>
      </c>
      <c r="B93" s="1">
        <v>611.52</v>
      </c>
      <c r="C93" s="1">
        <v>657.9</v>
      </c>
      <c r="D93" s="1">
        <v>1254.06</v>
      </c>
      <c r="E93" s="1">
        <v>2150.45</v>
      </c>
      <c r="F93" s="1">
        <v>3546.9</v>
      </c>
      <c r="G93" s="1">
        <v>4497.98</v>
      </c>
      <c r="H93">
        <v>6961</v>
      </c>
      <c r="I93">
        <v>9497</v>
      </c>
      <c r="J93">
        <v>10078</v>
      </c>
      <c r="K93">
        <v>12194</v>
      </c>
      <c r="L93">
        <v>14974</v>
      </c>
      <c r="M93">
        <v>20697</v>
      </c>
      <c r="N93">
        <v>21951</v>
      </c>
      <c r="O93">
        <v>26488</v>
      </c>
      <c r="P93" s="1">
        <v>694.42</v>
      </c>
      <c r="Q93" s="1">
        <v>749.48</v>
      </c>
      <c r="R93" s="1">
        <v>1506.61</v>
      </c>
      <c r="S93" s="1">
        <v>2686.74</v>
      </c>
      <c r="T93" s="1">
        <v>4602.27</v>
      </c>
      <c r="U93" s="1">
        <v>5952.03</v>
      </c>
      <c r="V93">
        <v>9534</v>
      </c>
      <c r="W93">
        <v>13364</v>
      </c>
      <c r="X93">
        <v>14303</v>
      </c>
      <c r="Y93">
        <v>17776</v>
      </c>
      <c r="Z93">
        <v>22500</v>
      </c>
      <c r="AA93">
        <v>32757</v>
      </c>
      <c r="AB93">
        <v>35146</v>
      </c>
      <c r="AC93">
        <v>44004</v>
      </c>
    </row>
    <row r="94" spans="1:29" ht="12.75">
      <c r="A94">
        <v>93</v>
      </c>
      <c r="B94" s="1">
        <v>624.24</v>
      </c>
      <c r="C94" s="1">
        <v>671.73</v>
      </c>
      <c r="D94" s="1">
        <v>1281.03</v>
      </c>
      <c r="E94" s="1">
        <v>2197.82</v>
      </c>
      <c r="F94" s="1">
        <v>3629.26</v>
      </c>
      <c r="G94" s="1">
        <v>4605.7</v>
      </c>
      <c r="H94">
        <v>7141</v>
      </c>
      <c r="I94">
        <v>9756</v>
      </c>
      <c r="J94">
        <v>10356</v>
      </c>
      <c r="K94">
        <v>12544</v>
      </c>
      <c r="L94">
        <v>15429</v>
      </c>
      <c r="M94">
        <v>21380</v>
      </c>
      <c r="N94">
        <v>22685</v>
      </c>
      <c r="O94">
        <v>27415</v>
      </c>
      <c r="P94" s="1">
        <v>712.32</v>
      </c>
      <c r="Q94" s="1">
        <v>769.07</v>
      </c>
      <c r="R94" s="1">
        <v>1549.61</v>
      </c>
      <c r="S94" s="1">
        <v>2769.48</v>
      </c>
      <c r="T94" s="1">
        <v>4755.38</v>
      </c>
      <c r="U94" s="1">
        <v>6159.44</v>
      </c>
      <c r="V94">
        <v>9892</v>
      </c>
      <c r="W94">
        <v>13889</v>
      </c>
      <c r="X94">
        <v>14874</v>
      </c>
      <c r="Y94">
        <v>18511</v>
      </c>
      <c r="Z94">
        <v>23462</v>
      </c>
      <c r="AA94">
        <v>34242</v>
      </c>
      <c r="AB94">
        <v>36763</v>
      </c>
      <c r="AC94">
        <v>46115</v>
      </c>
    </row>
    <row r="95" spans="1:29" ht="12.75">
      <c r="A95">
        <v>94</v>
      </c>
      <c r="B95" s="1">
        <v>637.64</v>
      </c>
      <c r="C95" s="1">
        <v>686.15</v>
      </c>
      <c r="D95" s="1">
        <v>1309.19</v>
      </c>
      <c r="E95" s="1">
        <v>2248.26</v>
      </c>
      <c r="F95" s="1">
        <v>3716.33</v>
      </c>
      <c r="G95" s="1">
        <v>4719.7</v>
      </c>
      <c r="H95">
        <v>7330</v>
      </c>
      <c r="I95">
        <v>10035</v>
      </c>
      <c r="J95">
        <v>10656</v>
      </c>
      <c r="K95">
        <v>12924</v>
      </c>
      <c r="L95">
        <v>15919</v>
      </c>
      <c r="M95">
        <v>22115</v>
      </c>
      <c r="N95">
        <v>23480</v>
      </c>
      <c r="O95">
        <v>28422</v>
      </c>
      <c r="P95" s="1">
        <v>731.34</v>
      </c>
      <c r="Q95" s="1">
        <v>789.88</v>
      </c>
      <c r="R95" s="1">
        <v>1595.5</v>
      </c>
      <c r="S95" s="1">
        <v>2858.86</v>
      </c>
      <c r="T95" s="1">
        <v>4921.52</v>
      </c>
      <c r="U95" s="1">
        <v>6383.48</v>
      </c>
      <c r="V95">
        <v>10279</v>
      </c>
      <c r="W95">
        <v>14466</v>
      </c>
      <c r="X95">
        <v>15500</v>
      </c>
      <c r="Y95">
        <v>19316</v>
      </c>
      <c r="Z95">
        <v>24518</v>
      </c>
      <c r="AA95">
        <v>35890</v>
      </c>
      <c r="AB95">
        <v>38549</v>
      </c>
      <c r="AC95">
        <v>48455</v>
      </c>
    </row>
    <row r="96" spans="1:29" ht="12.75">
      <c r="A96">
        <v>95</v>
      </c>
      <c r="B96" s="1">
        <v>651.76</v>
      </c>
      <c r="C96" s="1">
        <v>701.35</v>
      </c>
      <c r="D96" s="1">
        <v>1339.17</v>
      </c>
      <c r="E96" s="1">
        <v>2301.07</v>
      </c>
      <c r="F96" s="1">
        <v>3808.5</v>
      </c>
      <c r="G96" s="1">
        <v>4841.58</v>
      </c>
      <c r="H96">
        <v>7534</v>
      </c>
      <c r="I96">
        <v>10332</v>
      </c>
      <c r="J96">
        <v>10975</v>
      </c>
      <c r="K96">
        <v>13331</v>
      </c>
      <c r="L96">
        <v>16449</v>
      </c>
      <c r="M96">
        <v>22923</v>
      </c>
      <c r="N96">
        <v>24349</v>
      </c>
      <c r="O96">
        <v>29532</v>
      </c>
      <c r="P96" s="1">
        <v>751.73</v>
      </c>
      <c r="Q96" s="1">
        <v>812.02</v>
      </c>
      <c r="R96" s="1">
        <v>1644.97</v>
      </c>
      <c r="S96" s="1">
        <v>2954.94</v>
      </c>
      <c r="T96" s="1">
        <v>5101.02</v>
      </c>
      <c r="U96" s="1">
        <v>6626.21</v>
      </c>
      <c r="V96">
        <v>10700</v>
      </c>
      <c r="W96">
        <v>15096</v>
      </c>
      <c r="X96">
        <v>16181</v>
      </c>
      <c r="Y96">
        <v>20200</v>
      </c>
      <c r="Z96">
        <v>25690</v>
      </c>
      <c r="AA96">
        <v>37717</v>
      </c>
      <c r="AB96">
        <v>40545</v>
      </c>
      <c r="AC96">
        <v>51045</v>
      </c>
    </row>
    <row r="97" spans="1:29" ht="12.75">
      <c r="A97">
        <v>96</v>
      </c>
      <c r="B97" s="1">
        <v>666.52</v>
      </c>
      <c r="C97" s="1">
        <v>717.24</v>
      </c>
      <c r="D97" s="1">
        <v>1370.57</v>
      </c>
      <c r="E97" s="1">
        <v>2357.45</v>
      </c>
      <c r="F97" s="1">
        <v>3906.22</v>
      </c>
      <c r="G97" s="1">
        <v>4969.93</v>
      </c>
      <c r="H97">
        <v>7750</v>
      </c>
      <c r="I97">
        <v>10652</v>
      </c>
      <c r="J97">
        <v>11321</v>
      </c>
      <c r="K97">
        <v>13771</v>
      </c>
      <c r="L97">
        <v>17020</v>
      </c>
      <c r="M97">
        <v>23804</v>
      </c>
      <c r="N97">
        <v>25297</v>
      </c>
      <c r="O97">
        <v>30747</v>
      </c>
      <c r="P97" s="1">
        <v>773.47</v>
      </c>
      <c r="Q97" s="1">
        <v>835.64</v>
      </c>
      <c r="R97" s="1">
        <v>1698.02</v>
      </c>
      <c r="S97" s="1">
        <v>3059.28</v>
      </c>
      <c r="T97" s="1">
        <v>5295.56</v>
      </c>
      <c r="U97" s="1">
        <v>6890.07</v>
      </c>
      <c r="V97">
        <v>11164</v>
      </c>
      <c r="W97">
        <v>15790</v>
      </c>
      <c r="X97">
        <v>16936</v>
      </c>
      <c r="Y97">
        <v>21175</v>
      </c>
      <c r="Z97">
        <v>26988</v>
      </c>
      <c r="AA97">
        <v>39768</v>
      </c>
      <c r="AB97">
        <v>42773</v>
      </c>
      <c r="AC97">
        <v>53987</v>
      </c>
    </row>
    <row r="98" spans="1:29" ht="12.75">
      <c r="A98">
        <v>97</v>
      </c>
      <c r="B98" s="1">
        <v>682.27</v>
      </c>
      <c r="C98" s="1">
        <v>734.19</v>
      </c>
      <c r="D98" s="1">
        <v>1403.47</v>
      </c>
      <c r="E98" s="1">
        <v>2416.66</v>
      </c>
      <c r="F98" s="1">
        <v>4010.9</v>
      </c>
      <c r="G98" s="1">
        <v>5107.6</v>
      </c>
      <c r="H98">
        <v>7983</v>
      </c>
      <c r="I98">
        <v>10995</v>
      </c>
      <c r="J98">
        <v>11692</v>
      </c>
      <c r="K98">
        <v>14244</v>
      </c>
      <c r="L98">
        <v>17644</v>
      </c>
      <c r="M98">
        <v>24767</v>
      </c>
      <c r="N98">
        <v>26341</v>
      </c>
      <c r="O98">
        <v>32098</v>
      </c>
      <c r="P98" s="1">
        <v>796.69</v>
      </c>
      <c r="Q98" s="1">
        <v>861.08</v>
      </c>
      <c r="R98" s="1">
        <v>1755.05</v>
      </c>
      <c r="S98" s="1">
        <v>3171.25</v>
      </c>
      <c r="T98" s="1">
        <v>5508.64</v>
      </c>
      <c r="U98" s="1">
        <v>7177.91</v>
      </c>
      <c r="V98">
        <v>11673</v>
      </c>
      <c r="W98">
        <v>16560</v>
      </c>
      <c r="X98">
        <v>17770</v>
      </c>
      <c r="Y98">
        <v>22257</v>
      </c>
      <c r="Z98">
        <v>28434</v>
      </c>
      <c r="AA98">
        <v>42056</v>
      </c>
      <c r="AB98">
        <v>45278</v>
      </c>
      <c r="AC98">
        <v>57289</v>
      </c>
    </row>
    <row r="99" spans="1:29" ht="12.75">
      <c r="A99">
        <v>98</v>
      </c>
      <c r="B99" s="1">
        <v>698.78</v>
      </c>
      <c r="C99" s="1">
        <v>751.97</v>
      </c>
      <c r="D99" s="1">
        <v>1438.64</v>
      </c>
      <c r="E99" s="1">
        <v>2479.5</v>
      </c>
      <c r="F99" s="1">
        <v>4121.35</v>
      </c>
      <c r="G99" s="1">
        <v>5253.12</v>
      </c>
      <c r="H99">
        <v>8233</v>
      </c>
      <c r="I99">
        <v>11367</v>
      </c>
      <c r="J99">
        <v>12092</v>
      </c>
      <c r="K99">
        <v>14761</v>
      </c>
      <c r="L99">
        <v>18325</v>
      </c>
      <c r="M99">
        <v>25831</v>
      </c>
      <c r="N99">
        <v>27497</v>
      </c>
      <c r="O99">
        <v>33591</v>
      </c>
      <c r="P99" s="1">
        <v>821.55</v>
      </c>
      <c r="Q99" s="1">
        <v>888.34</v>
      </c>
      <c r="R99" s="1">
        <v>1816.52</v>
      </c>
      <c r="S99" s="1">
        <v>3293.56</v>
      </c>
      <c r="T99" s="1">
        <v>5741.29</v>
      </c>
      <c r="U99" s="1">
        <v>7495.42</v>
      </c>
      <c r="V99">
        <v>12235</v>
      </c>
      <c r="W99">
        <v>17410</v>
      </c>
      <c r="X99">
        <v>18697</v>
      </c>
      <c r="Y99">
        <v>23473</v>
      </c>
      <c r="Z99">
        <v>30056</v>
      </c>
      <c r="AA99">
        <v>44657</v>
      </c>
      <c r="AB99">
        <v>48113</v>
      </c>
      <c r="AC99">
        <v>61071</v>
      </c>
    </row>
    <row r="100" spans="1:29" ht="12.75">
      <c r="A100">
        <v>99</v>
      </c>
      <c r="B100" s="1">
        <v>716.11</v>
      </c>
      <c r="C100" s="1">
        <v>770.8</v>
      </c>
      <c r="D100" s="1">
        <v>1475.97</v>
      </c>
      <c r="E100" s="1">
        <v>2546.29</v>
      </c>
      <c r="F100" s="1">
        <v>4240.1</v>
      </c>
      <c r="G100" s="1">
        <v>5409.8</v>
      </c>
      <c r="H100">
        <v>8500</v>
      </c>
      <c r="I100">
        <v>11770</v>
      </c>
      <c r="J100">
        <v>12529</v>
      </c>
      <c r="K100">
        <v>15326</v>
      </c>
      <c r="L100">
        <v>19071</v>
      </c>
      <c r="M100">
        <v>27006</v>
      </c>
      <c r="N100">
        <v>28774</v>
      </c>
      <c r="O100">
        <v>35267</v>
      </c>
      <c r="P100" s="1">
        <v>848.44</v>
      </c>
      <c r="Q100" s="1">
        <v>917.62</v>
      </c>
      <c r="R100" s="1">
        <v>1883.47</v>
      </c>
      <c r="S100" s="1">
        <v>3426.67</v>
      </c>
      <c r="T100" s="1">
        <v>5996.3</v>
      </c>
      <c r="U100" s="1">
        <v>7844.83</v>
      </c>
      <c r="V100">
        <v>12863</v>
      </c>
      <c r="W100">
        <v>18365</v>
      </c>
      <c r="X100">
        <v>19741</v>
      </c>
      <c r="Y100">
        <v>24838</v>
      </c>
      <c r="Z100">
        <v>31885</v>
      </c>
      <c r="AA100">
        <v>47622</v>
      </c>
      <c r="AB100">
        <v>51350</v>
      </c>
      <c r="AC100">
        <v>65418</v>
      </c>
    </row>
    <row r="101" spans="1:29" ht="12.75">
      <c r="A101">
        <v>100</v>
      </c>
      <c r="B101" s="1">
        <v>734.66</v>
      </c>
      <c r="C101" s="1">
        <v>790.79</v>
      </c>
      <c r="D101" s="1">
        <v>1515.29</v>
      </c>
      <c r="E101" s="1">
        <v>2617.42</v>
      </c>
      <c r="F101" s="1">
        <v>4365.88</v>
      </c>
      <c r="G101" s="1">
        <v>5577.5</v>
      </c>
      <c r="H101">
        <v>8791</v>
      </c>
      <c r="I101">
        <v>12207</v>
      </c>
      <c r="J101">
        <v>13003</v>
      </c>
      <c r="K101">
        <v>15939</v>
      </c>
      <c r="L101">
        <v>19890</v>
      </c>
      <c r="M101">
        <v>28316</v>
      </c>
      <c r="N101">
        <v>30201</v>
      </c>
      <c r="O101">
        <v>37142</v>
      </c>
      <c r="P101" s="1">
        <v>877.38</v>
      </c>
      <c r="Q101" s="1">
        <v>949.13</v>
      </c>
      <c r="R101" s="1">
        <v>1955.54</v>
      </c>
      <c r="S101" s="1">
        <v>3572.07</v>
      </c>
      <c r="T101" s="1">
        <v>6277.04</v>
      </c>
      <c r="U101" s="1">
        <v>8231.16</v>
      </c>
      <c r="V101">
        <v>13563</v>
      </c>
      <c r="W101">
        <v>19446</v>
      </c>
      <c r="X101">
        <v>20908</v>
      </c>
      <c r="Y101">
        <v>26382</v>
      </c>
      <c r="Z101">
        <v>33981</v>
      </c>
      <c r="AA101">
        <v>51031</v>
      </c>
      <c r="AB101">
        <v>55103</v>
      </c>
      <c r="AC101">
        <v>70465</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103"/>
  <sheetViews>
    <sheetView zoomScalePageLayoutView="0" workbookViewId="0" topLeftCell="A1">
      <selection activeCell="G45" sqref="G45"/>
    </sheetView>
  </sheetViews>
  <sheetFormatPr defaultColWidth="9.140625" defaultRowHeight="12.75"/>
  <cols>
    <col min="2" max="2" width="9.7109375" style="0" customWidth="1"/>
    <col min="3" max="3" width="11.00390625" style="0" customWidth="1"/>
    <col min="4" max="4" width="10.8515625" style="0" customWidth="1"/>
    <col min="5" max="5" width="12.7109375" style="0" customWidth="1"/>
  </cols>
  <sheetData>
    <row r="1" ht="12.75">
      <c r="B1" s="5" t="s">
        <v>211</v>
      </c>
    </row>
    <row r="2" spans="1:5" ht="12.75">
      <c r="A2" s="46" t="s">
        <v>74</v>
      </c>
      <c r="B2" s="46" t="s">
        <v>212</v>
      </c>
      <c r="C2" s="46" t="s">
        <v>214</v>
      </c>
      <c r="D2" s="46" t="s">
        <v>213</v>
      </c>
      <c r="E2" s="46" t="s">
        <v>215</v>
      </c>
    </row>
    <row r="3" spans="1:5" ht="12.75">
      <c r="A3">
        <f>Times!A6</f>
        <v>5</v>
      </c>
      <c r="B3" s="69">
        <f>Times!$D$26/Times!D6</f>
        <v>0.649602370345984</v>
      </c>
      <c r="C3" s="69">
        <f>Times!$I$26/Times!I6</f>
        <v>0.649636058230683</v>
      </c>
      <c r="D3" s="69">
        <f>Times!$R$26/Times!R6</f>
        <v>0.7220029087886972</v>
      </c>
      <c r="E3" s="69">
        <f>Times!$W$26/Times!W6</f>
        <v>0.7220488081725313</v>
      </c>
    </row>
    <row r="4" spans="1:5" ht="12.75">
      <c r="A4">
        <f>Times!A7</f>
        <v>6</v>
      </c>
      <c r="B4" s="69">
        <f>Times!$D$26/Times!D7</f>
        <v>0.6869009932225885</v>
      </c>
      <c r="C4" s="69">
        <f>Times!$I$26/Times!I7</f>
        <v>0.6869449378330373</v>
      </c>
      <c r="D4" s="69">
        <f>Times!$R$26/Times!R7</f>
        <v>0.7549014283386738</v>
      </c>
      <c r="E4" s="69">
        <f>Times!$W$26/Times!W7</f>
        <v>0.754932502596054</v>
      </c>
    </row>
    <row r="5" spans="1:5" ht="12.75">
      <c r="A5">
        <f>Times!A8</f>
        <v>7</v>
      </c>
      <c r="B5" s="69">
        <f>Times!$D$26/Times!D8</f>
        <v>0.7220024241315435</v>
      </c>
      <c r="C5" s="69">
        <f>Times!$I$26/Times!I8</f>
        <v>0.7219975108898569</v>
      </c>
      <c r="D5" s="69">
        <f>Times!$R$26/Times!R8</f>
        <v>0.7856036714255034</v>
      </c>
      <c r="E5" s="69">
        <f>Times!$W$26/Times!W8</f>
        <v>0.785581969743748</v>
      </c>
    </row>
    <row r="6" spans="1:5" ht="12.75">
      <c r="A6">
        <f>Times!A9</f>
        <v>8</v>
      </c>
      <c r="B6" s="69">
        <f>Times!$D$26/Times!D9</f>
        <v>0.7548987960737898</v>
      </c>
      <c r="C6" s="69">
        <f>Times!$I$26/Times!I9</f>
        <v>0.7548796356538712</v>
      </c>
      <c r="D6" s="69">
        <f>Times!$R$26/Times!R9</f>
        <v>0.8141033149818437</v>
      </c>
      <c r="E6" s="69">
        <f>Times!$W$26/Times!W9</f>
        <v>0.8141097424412094</v>
      </c>
    </row>
    <row r="7" spans="1:5" ht="12.75">
      <c r="A7">
        <f>Times!A10</f>
        <v>9</v>
      </c>
      <c r="B7" s="69">
        <f>Times!$D$26/Times!D10</f>
        <v>0.785602309204469</v>
      </c>
      <c r="C7" s="69">
        <f>Times!$I$26/Times!I10</f>
        <v>0.7855450236966824</v>
      </c>
      <c r="D7" s="69">
        <f>Times!$R$26/Times!R10</f>
        <v>0.8403971027461034</v>
      </c>
      <c r="E7" s="69">
        <f>Times!$W$26/Times!W10</f>
        <v>0.8404624277456647</v>
      </c>
    </row>
    <row r="8" spans="1:5" ht="12.75">
      <c r="A8">
        <f>Times!A11</f>
        <v>10</v>
      </c>
      <c r="B8" s="69">
        <f>Times!$D$26/Times!D11</f>
        <v>0.8141052088705517</v>
      </c>
      <c r="C8" s="69">
        <f>Times!$I$26/Times!I11</f>
        <v>0.8140677074197509</v>
      </c>
      <c r="D8" s="69">
        <f>Times!$R$26/Times!R11</f>
        <v>0.8645031283818243</v>
      </c>
      <c r="E8" s="69">
        <f>Times!$W$26/Times!W11</f>
        <v>0.8644470868014269</v>
      </c>
    </row>
    <row r="9" spans="1:5" ht="12.75">
      <c r="A9">
        <f>Times!A12</f>
        <v>11</v>
      </c>
      <c r="B9" s="69">
        <f>Times!$D$26/Times!D12</f>
        <v>0.8404030186469327</v>
      </c>
      <c r="C9" s="69">
        <f>Times!$I$26/Times!I12</f>
        <v>0.8404563563926114</v>
      </c>
      <c r="D9" s="69">
        <f>Times!$R$26/Times!R12</f>
        <v>0.8864004489395079</v>
      </c>
      <c r="E9" s="69">
        <f>Times!$W$26/Times!W12</f>
        <v>0.886430935377112</v>
      </c>
    </row>
    <row r="10" spans="1:5" ht="12.75">
      <c r="A10">
        <f>Times!A13</f>
        <v>12</v>
      </c>
      <c r="B10" s="69">
        <f>Times!$D$26/Times!D13</f>
        <v>0.8644970495214884</v>
      </c>
      <c r="C10" s="69">
        <f>Times!$I$26/Times!I13</f>
        <v>0.8645678092399404</v>
      </c>
      <c r="D10" s="69">
        <f>Times!$R$26/Times!R13</f>
        <v>0.9061041433078668</v>
      </c>
      <c r="E10" s="69">
        <f>Times!$W$26/Times!W13</f>
        <v>0.9061609686609686</v>
      </c>
    </row>
    <row r="11" spans="1:5" ht="12.75">
      <c r="A11">
        <f>Times!A14</f>
        <v>13</v>
      </c>
      <c r="B11" s="69">
        <f>Times!$D$26/Times!D14</f>
        <v>0.8864025605750062</v>
      </c>
      <c r="C11" s="69">
        <f>Times!$I$26/Times!I14</f>
        <v>0.8863636363636364</v>
      </c>
      <c r="D11" s="69">
        <f>Times!$R$26/Times!R14</f>
        <v>0.9236003136254303</v>
      </c>
      <c r="E11" s="69">
        <f>Times!$W$26/Times!W14</f>
        <v>0.9235934664246824</v>
      </c>
    </row>
    <row r="12" spans="1:5" ht="12.75">
      <c r="A12">
        <f>Times!A15</f>
        <v>14</v>
      </c>
      <c r="B12" s="69">
        <f>Times!$D$26/Times!D15</f>
        <v>0.906106048647485</v>
      </c>
      <c r="C12" s="69">
        <f>Times!$I$26/Times!I15</f>
        <v>0.9060913705583756</v>
      </c>
      <c r="D12" s="69">
        <f>Times!$R$26/Times!R15</f>
        <v>0.9388973697364332</v>
      </c>
      <c r="E12" s="69">
        <f>Times!$W$26/Times!W15</f>
        <v>0.938929889298893</v>
      </c>
    </row>
    <row r="13" spans="1:5" ht="12.75">
      <c r="A13">
        <f>Times!A16</f>
        <v>15</v>
      </c>
      <c r="B13" s="69">
        <f>Times!$D$26/Times!D16</f>
        <v>0.9236012579536312</v>
      </c>
      <c r="C13" s="69">
        <f>Times!$I$26/Times!I16</f>
        <v>0.9235820895522389</v>
      </c>
      <c r="D13" s="69">
        <f>Times!$R$26/Times!R16</f>
        <v>0.9520026299928771</v>
      </c>
      <c r="E13" s="69">
        <f>Times!$W$26/Times!W16</f>
        <v>0.9519266741488964</v>
      </c>
    </row>
    <row r="14" spans="1:5" ht="12.75">
      <c r="A14">
        <f>Times!A17</f>
        <v>16</v>
      </c>
      <c r="B14" s="69">
        <f>Times!$D$26/Times!D17</f>
        <v>0.9389005367949919</v>
      </c>
      <c r="C14" s="69">
        <f>Times!$I$26/Times!I17</f>
        <v>0.9389034998988468</v>
      </c>
      <c r="D14" s="69">
        <f>Times!$R$26/Times!R17</f>
        <v>0.9640058256467161</v>
      </c>
      <c r="E14" s="69">
        <f>Times!$W$26/Times!W17</f>
        <v>0.9640083349119152</v>
      </c>
    </row>
    <row r="15" spans="1:5" ht="12.75">
      <c r="A15">
        <f>Times!A18</f>
        <v>17</v>
      </c>
      <c r="B15" s="69">
        <f>Times!$D$26/Times!D18</f>
        <v>0.9519946928806199</v>
      </c>
      <c r="C15" s="69">
        <f>Times!$I$26/Times!I18</f>
        <v>0.952</v>
      </c>
      <c r="D15" s="69">
        <f>Times!$R$26/Times!R18</f>
        <v>0.9760002246906991</v>
      </c>
      <c r="E15" s="69">
        <f>Times!$W$26/Times!W18</f>
        <v>0.9760260836210203</v>
      </c>
    </row>
    <row r="16" spans="1:5" ht="12.75">
      <c r="A16">
        <f>Times!A19</f>
        <v>18</v>
      </c>
      <c r="B16" s="69">
        <f>Times!$D$26/Times!D19</f>
        <v>0.964</v>
      </c>
      <c r="C16" s="69">
        <f>Times!$I$26/Times!I19</f>
        <v>0.9640631491483174</v>
      </c>
      <c r="D16" s="69">
        <f>Times!$R$26/Times!R19</f>
        <v>0.9880018196292505</v>
      </c>
      <c r="E16" s="69">
        <f>Times!$W$26/Times!W19</f>
        <v>0.9879635022325762</v>
      </c>
    </row>
    <row r="17" spans="1:5" ht="12.75">
      <c r="A17">
        <f>Times!A20</f>
        <v>19</v>
      </c>
      <c r="B17" s="69">
        <f>Times!$D$26/Times!D20</f>
        <v>0.975995053713579</v>
      </c>
      <c r="C17" s="69">
        <f>Times!$I$26/Times!I20</f>
        <v>0.97602523659306</v>
      </c>
      <c r="D17" s="69">
        <f>Times!$R$26/Times!R20</f>
        <v>1</v>
      </c>
      <c r="E17" s="69">
        <f>Times!$W$26/Times!W20</f>
        <v>1</v>
      </c>
    </row>
    <row r="18" spans="1:5" ht="12.75">
      <c r="A18">
        <f>Times!A21</f>
        <v>20</v>
      </c>
      <c r="B18" s="69">
        <f>Times!$D$26/Times!D21</f>
        <v>0.9879985604531442</v>
      </c>
      <c r="C18" s="69">
        <f>Times!$I$26/Times!I21</f>
        <v>0.9880774962742176</v>
      </c>
      <c r="D18" s="69">
        <f>Times!$R$26/Times!R21</f>
        <v>1</v>
      </c>
      <c r="E18" s="69">
        <f>Times!$W$26/Times!W21</f>
        <v>1</v>
      </c>
    </row>
    <row r="19" spans="1:5" ht="12.75">
      <c r="A19">
        <f>Times!A22</f>
        <v>21</v>
      </c>
      <c r="B19" s="69">
        <f>Times!$D$26/Times!D22</f>
        <v>1</v>
      </c>
      <c r="C19" s="69">
        <f>Times!$I$26/Times!I22</f>
        <v>1</v>
      </c>
      <c r="D19" s="69">
        <f>Times!$R$26/Times!R22</f>
        <v>1</v>
      </c>
      <c r="E19" s="69">
        <f>Times!$W$26/Times!W22</f>
        <v>1</v>
      </c>
    </row>
    <row r="20" spans="1:5" ht="12.75">
      <c r="A20">
        <f>Times!A23</f>
        <v>22</v>
      </c>
      <c r="B20" s="69">
        <f>Times!$D$26/Times!D23</f>
        <v>1</v>
      </c>
      <c r="C20" s="69">
        <f>Times!$I$26/Times!I23</f>
        <v>1</v>
      </c>
      <c r="D20" s="69">
        <f>Times!$R$26/Times!R23</f>
        <v>1</v>
      </c>
      <c r="E20" s="69">
        <f>Times!$W$26/Times!W23</f>
        <v>1</v>
      </c>
    </row>
    <row r="21" spans="1:5" ht="12.75">
      <c r="A21">
        <f>Times!A24</f>
        <v>23</v>
      </c>
      <c r="B21" s="69">
        <f>Times!$D$26/Times!D24</f>
        <v>1</v>
      </c>
      <c r="C21" s="69">
        <f>Times!$I$26/Times!I24</f>
        <v>1</v>
      </c>
      <c r="D21" s="69">
        <f>Times!$R$26/Times!R24</f>
        <v>1</v>
      </c>
      <c r="E21" s="69">
        <f>Times!$W$26/Times!W24</f>
        <v>1</v>
      </c>
    </row>
    <row r="22" spans="1:5" ht="12.75">
      <c r="A22">
        <f>Times!A25</f>
        <v>24</v>
      </c>
      <c r="B22" s="69">
        <f>Times!$D$26/Times!D25</f>
        <v>1</v>
      </c>
      <c r="C22" s="69">
        <f>Times!$I$26/Times!I25</f>
        <v>1</v>
      </c>
      <c r="D22" s="69">
        <f>Times!$R$26/Times!R25</f>
        <v>1</v>
      </c>
      <c r="E22" s="69">
        <f>Times!$W$26/Times!W25</f>
        <v>1</v>
      </c>
    </row>
    <row r="23" spans="1:5" ht="12.75">
      <c r="A23">
        <f>Times!A26</f>
        <v>25</v>
      </c>
      <c r="B23" s="69">
        <f>Times!$D$26/Times!D26</f>
        <v>1</v>
      </c>
      <c r="C23" s="69">
        <f>Times!$I$26/Times!I26</f>
        <v>1</v>
      </c>
      <c r="D23" s="69">
        <f>Times!$R$26/Times!R26</f>
        <v>1</v>
      </c>
      <c r="E23" s="69">
        <f>Times!$W$26/Times!W26</f>
        <v>1</v>
      </c>
    </row>
    <row r="24" spans="1:5" ht="12.75">
      <c r="A24">
        <f>Times!A27</f>
        <v>26</v>
      </c>
      <c r="B24" s="69">
        <f>Times!$D$26/Times!D27</f>
        <v>1</v>
      </c>
      <c r="C24" s="69">
        <f>Times!$I$26/Times!I27</f>
        <v>1</v>
      </c>
      <c r="D24" s="69">
        <f>Times!$R$26/Times!R27</f>
        <v>1</v>
      </c>
      <c r="E24" s="69">
        <f>Times!$W$26/Times!W27</f>
        <v>1</v>
      </c>
    </row>
    <row r="25" spans="1:5" ht="12.75">
      <c r="A25">
        <f>Times!A28</f>
        <v>27</v>
      </c>
      <c r="B25" s="69">
        <f>Times!$D$26/Times!D28</f>
        <v>1</v>
      </c>
      <c r="C25" s="69">
        <f>Times!$I$26/Times!I28</f>
        <v>1</v>
      </c>
      <c r="D25" s="69">
        <f>Times!$R$26/Times!R28</f>
        <v>1</v>
      </c>
      <c r="E25" s="69">
        <f>Times!$W$26/Times!W28</f>
        <v>1</v>
      </c>
    </row>
    <row r="26" spans="1:5" ht="12.75">
      <c r="A26">
        <f>Times!A29</f>
        <v>28</v>
      </c>
      <c r="B26" s="69">
        <f>Times!$D$26/Times!D29</f>
        <v>0.9996991814569116</v>
      </c>
      <c r="C26" s="69">
        <f>Times!$I$26/Times!I29</f>
        <v>1</v>
      </c>
      <c r="D26" s="69">
        <f>Times!$R$26/Times!R29</f>
        <v>1</v>
      </c>
      <c r="E26" s="69">
        <f>Times!$W$26/Times!W29</f>
        <v>1</v>
      </c>
    </row>
    <row r="27" spans="1:5" ht="12.75">
      <c r="A27">
        <f>Times!A30</f>
        <v>29</v>
      </c>
      <c r="B27" s="69">
        <f>Times!$D$26/Times!D30</f>
        <v>0.9987030241680374</v>
      </c>
      <c r="C27" s="69">
        <f>Times!$I$26/Times!I30</f>
        <v>1</v>
      </c>
      <c r="D27" s="69">
        <f>Times!$R$26/Times!R30</f>
        <v>1</v>
      </c>
      <c r="E27" s="69">
        <f>Times!$W$26/Times!W30</f>
        <v>1</v>
      </c>
    </row>
    <row r="28" spans="1:5" ht="12.75">
      <c r="A28">
        <f>Times!A31</f>
        <v>30</v>
      </c>
      <c r="B28" s="69">
        <f>Times!$D$26/Times!D31</f>
        <v>0.9972046305216442</v>
      </c>
      <c r="C28" s="69">
        <f>Times!$I$26/Times!I31</f>
        <v>0.9997845756139595</v>
      </c>
      <c r="D28" s="69">
        <f>Times!$R$26/Times!R31</f>
        <v>1</v>
      </c>
      <c r="E28" s="69">
        <f>Times!$W$26/Times!W31</f>
        <v>1</v>
      </c>
    </row>
    <row r="29" spans="1:5" ht="12.75">
      <c r="A29">
        <f>Times!A32</f>
        <v>31</v>
      </c>
      <c r="B29" s="69">
        <f>Times!$D$26/Times!D32</f>
        <v>0.9950046486707952</v>
      </c>
      <c r="C29" s="69">
        <f>Times!$I$26/Times!I32</f>
        <v>0.9989238054240207</v>
      </c>
      <c r="D29" s="69">
        <f>Times!$R$26/Times!R32</f>
        <v>0.9995972845472328</v>
      </c>
      <c r="E29" s="69">
        <f>Times!$W$26/Times!W32</f>
        <v>0.9996071498723237</v>
      </c>
    </row>
    <row r="30" spans="1:5" ht="12.75">
      <c r="A30">
        <f>Times!A33</f>
        <v>32</v>
      </c>
      <c r="B30" s="69">
        <f>Times!$D$26/Times!D33</f>
        <v>0.9922059147050504</v>
      </c>
      <c r="C30" s="69">
        <f>Times!$I$26/Times!I33</f>
        <v>0.9976354256233878</v>
      </c>
      <c r="D30" s="69">
        <f>Times!$R$26/Times!R33</f>
        <v>0.9985058329981036</v>
      </c>
      <c r="E30" s="69">
        <f>Times!$W$26/Times!W33</f>
        <v>0.9984304492838925</v>
      </c>
    </row>
    <row r="31" spans="1:5" ht="12.75">
      <c r="A31">
        <f>Times!A34</f>
        <v>33</v>
      </c>
      <c r="B31" s="69">
        <f>Times!$D$26/Times!D34</f>
        <v>0.9886947262933734</v>
      </c>
      <c r="C31" s="69">
        <f>Times!$I$26/Times!I34</f>
        <v>0.9957090753057284</v>
      </c>
      <c r="D31" s="69">
        <f>Times!$R$26/Times!R34</f>
        <v>0.9966015171286404</v>
      </c>
      <c r="E31" s="69">
        <f>Times!$W$26/Times!W34</f>
        <v>0.9966705836271054</v>
      </c>
    </row>
    <row r="32" spans="1:5" ht="12.75">
      <c r="A32">
        <f>Times!A35</f>
        <v>34</v>
      </c>
      <c r="B32" s="69">
        <f>Times!$D$26/Times!D35</f>
        <v>0.9845937938562296</v>
      </c>
      <c r="C32" s="69">
        <f>Times!$I$26/Times!I35</f>
        <v>0.9931521506526857</v>
      </c>
      <c r="D32" s="69">
        <f>Times!$R$26/Times!R35</f>
        <v>0.9939931350114416</v>
      </c>
      <c r="E32" s="69">
        <f>Times!$W$26/Times!W35</f>
        <v>0.9939453125</v>
      </c>
    </row>
    <row r="33" spans="1:5" ht="12.75">
      <c r="A33">
        <f>Times!A36</f>
        <v>35</v>
      </c>
      <c r="B33" s="69">
        <f>Times!$D$26/Times!D36</f>
        <v>0.9799028508465633</v>
      </c>
      <c r="C33" s="69">
        <f>Times!$I$26/Times!I36</f>
        <v>0.9899744027303754</v>
      </c>
      <c r="D33" s="69">
        <f>Times!$R$26/Times!R36</f>
        <v>0.9906070497013925</v>
      </c>
      <c r="E33" s="69">
        <f>Times!$W$26/Times!W36</f>
        <v>0.9906560249172669</v>
      </c>
    </row>
    <row r="34" spans="1:5" ht="12.75">
      <c r="A34">
        <f>Times!A37</f>
        <v>36</v>
      </c>
      <c r="B34" s="69">
        <f>Times!$D$26/Times!D37</f>
        <v>0.9745940606285114</v>
      </c>
      <c r="C34" s="69">
        <f>Times!$I$26/Times!I37</f>
        <v>0.9861878453038674</v>
      </c>
      <c r="D34" s="69">
        <f>Times!$R$26/Times!R37</f>
        <v>0.9865012561922472</v>
      </c>
      <c r="E34" s="69">
        <f>Times!$W$26/Times!W37</f>
        <v>0.9864314789687924</v>
      </c>
    </row>
    <row r="35" spans="1:5" ht="12.75">
      <c r="A35">
        <f>Times!A38</f>
        <v>37</v>
      </c>
      <c r="B35" s="69">
        <f>Times!$D$26/Times!D38</f>
        <v>0.9685989967632576</v>
      </c>
      <c r="C35" s="69">
        <f>Times!$I$26/Times!I38</f>
        <v>0.9818066426909244</v>
      </c>
      <c r="D35" s="69">
        <f>Times!$R$26/Times!R38</f>
        <v>0.9815968249932913</v>
      </c>
      <c r="E35" s="69">
        <f>Times!$W$26/Times!W38</f>
        <v>0.9816743827160493</v>
      </c>
    </row>
    <row r="36" spans="1:5" ht="12.75">
      <c r="A36">
        <f>Times!A39</f>
        <v>38</v>
      </c>
      <c r="B36" s="69">
        <f>Times!$D$26/Times!D39</f>
        <v>0.962105166923159</v>
      </c>
      <c r="C36" s="69">
        <f>Times!$I$26/Times!I39</f>
        <v>0.9770526315789474</v>
      </c>
      <c r="D36" s="69">
        <f>Times!$R$26/Times!R39</f>
        <v>0.9760002246906991</v>
      </c>
      <c r="E36" s="69">
        <f>Times!$W$26/Times!W39</f>
        <v>0.9760260836210203</v>
      </c>
    </row>
    <row r="37" spans="1:5" ht="12.75">
      <c r="A37">
        <f>Times!A40</f>
        <v>39</v>
      </c>
      <c r="B37" s="69">
        <f>Times!$D$26/Times!D40</f>
        <v>0.9549029096848345</v>
      </c>
      <c r="C37" s="69">
        <f>Times!$I$26/Times!I40</f>
        <v>0.9715302491103203</v>
      </c>
      <c r="D37" s="69">
        <f>Times!$R$26/Times!R40</f>
        <v>0.9696005803652396</v>
      </c>
      <c r="E37" s="69">
        <f>Times!$W$26/Times!W40</f>
        <v>0.9695180034292246</v>
      </c>
    </row>
    <row r="38" spans="1:5" ht="12.75">
      <c r="A38">
        <f>Times!A41</f>
        <v>40</v>
      </c>
      <c r="B38" s="69">
        <f>Times!$D$26/Times!D41</f>
        <v>0.9474947854924146</v>
      </c>
      <c r="C38" s="69">
        <f>Times!$I$26/Times!I41</f>
        <v>0.9654670272519242</v>
      </c>
      <c r="D38" s="69">
        <f>Times!$R$26/Times!R41</f>
        <v>0.9624972302237979</v>
      </c>
      <c r="E38" s="69">
        <f>Times!$W$26/Times!W41</f>
        <v>0.9616402116402116</v>
      </c>
    </row>
    <row r="39" spans="1:5" ht="12.75">
      <c r="A39">
        <f>Times!A42</f>
        <v>41</v>
      </c>
      <c r="B39" s="69">
        <f>Times!$D$26/Times!D42</f>
        <v>0.940102732077719</v>
      </c>
      <c r="C39" s="69">
        <f>Times!$I$26/Times!I42</f>
        <v>0.9586862218549886</v>
      </c>
      <c r="D39" s="69">
        <f>Times!$R$26/Times!R42</f>
        <v>0.95499828237719</v>
      </c>
      <c r="E39" s="69">
        <f>Times!$W$26/Times!W42</f>
        <v>0.9537106446776612</v>
      </c>
    </row>
    <row r="40" spans="1:5" ht="12.75">
      <c r="A40">
        <f>Times!A43</f>
        <v>42</v>
      </c>
      <c r="B40" s="69">
        <f>Times!$D$26/Times!D43</f>
        <v>0.9327011137699783</v>
      </c>
      <c r="C40" s="69">
        <f>Times!$I$26/Times!I43</f>
        <v>0.9514145141451414</v>
      </c>
      <c r="D40" s="69">
        <f>Times!$R$26/Times!R43</f>
        <v>0.9474990116017505</v>
      </c>
      <c r="E40" s="69">
        <f>Times!$W$26/Times!W43</f>
        <v>0.9455592716462282</v>
      </c>
    </row>
    <row r="41" spans="1:5" ht="12.75">
      <c r="A41">
        <f>Times!A44</f>
        <v>43</v>
      </c>
      <c r="B41" s="69">
        <f>Times!$D$26/Times!D44</f>
        <v>0.9253066428288808</v>
      </c>
      <c r="C41" s="69">
        <f>Times!$I$26/Times!I44</f>
        <v>0.9442522889114954</v>
      </c>
      <c r="D41" s="69">
        <f>Times!$R$26/Times!R44</f>
        <v>0.9400021640337589</v>
      </c>
      <c r="E41" s="69">
        <f>Times!$W$26/Times!W44</f>
        <v>0.9373733652606373</v>
      </c>
    </row>
    <row r="42" spans="1:5" ht="12.75">
      <c r="A42">
        <f>Times!A45</f>
        <v>44</v>
      </c>
      <c r="B42" s="69">
        <f>Times!$D$26/Times!D45</f>
        <v>0.9178950428841401</v>
      </c>
      <c r="C42" s="69">
        <f>Times!$I$26/Times!I45</f>
        <v>0.937007874015748</v>
      </c>
      <c r="D42" s="69">
        <f>Times!$R$26/Times!R45</f>
        <v>0.9324978867853645</v>
      </c>
      <c r="E42" s="69">
        <f>Times!$W$26/Times!W45</f>
        <v>0.9288191275780252</v>
      </c>
    </row>
    <row r="43" spans="1:5" ht="12.75">
      <c r="A43">
        <f>Times!A46</f>
        <v>45</v>
      </c>
      <c r="B43" s="69">
        <f>Times!$D$26/Times!D46</f>
        <v>0.9104961859579805</v>
      </c>
      <c r="C43" s="69">
        <f>Times!$I$26/Times!I46</f>
        <v>0.9298737727910238</v>
      </c>
      <c r="D43" s="69">
        <f>Times!$R$26/Times!R46</f>
        <v>0.9250016636720569</v>
      </c>
      <c r="E43" s="69">
        <f>Times!$W$26/Times!W46</f>
        <v>0.9204196057153192</v>
      </c>
    </row>
    <row r="44" spans="1:5" ht="12.75">
      <c r="A44">
        <f>Times!A47</f>
        <v>46</v>
      </c>
      <c r="B44" s="69">
        <f>Times!$D$26/Times!D47</f>
        <v>0.9030993892758556</v>
      </c>
      <c r="C44" s="69">
        <f>Times!$I$26/Times!I47</f>
        <v>0.9226640159045726</v>
      </c>
      <c r="D44" s="69">
        <f>Times!$R$26/Times!R47</f>
        <v>0.9175038614371147</v>
      </c>
      <c r="E44" s="69">
        <f>Times!$W$26/Times!W47</f>
        <v>0.9118437555993549</v>
      </c>
    </row>
    <row r="45" spans="1:5" ht="12.75">
      <c r="A45">
        <f>Times!A48</f>
        <v>47</v>
      </c>
      <c r="B45" s="69">
        <f>Times!$D$26/Times!D48</f>
        <v>0.8956947301227036</v>
      </c>
      <c r="C45" s="69">
        <f>Times!$I$26/Times!I48</f>
        <v>0.9153846153846154</v>
      </c>
      <c r="D45" s="69">
        <f>Times!$R$26/Times!R48</f>
        <v>0.9099955482232173</v>
      </c>
      <c r="E45" s="69">
        <f>Times!$W$26/Times!W48</f>
        <v>0.9029453513129879</v>
      </c>
    </row>
    <row r="46" spans="1:5" ht="12.75">
      <c r="A46">
        <f>Times!A49</f>
        <v>48</v>
      </c>
      <c r="B46" s="69">
        <f>Times!$D$26/Times!D49</f>
        <v>0.8882980220027572</v>
      </c>
      <c r="C46" s="69">
        <f>Times!$I$26/Times!I49</f>
        <v>0.9082191780821918</v>
      </c>
      <c r="D46" s="69">
        <f>Times!$R$26/Times!R49</f>
        <v>0.9025036359858716</v>
      </c>
      <c r="E46" s="69">
        <f>Times!$W$26/Times!W49</f>
        <v>0.8942189421894219</v>
      </c>
    </row>
    <row r="47" spans="1:5" ht="12.75">
      <c r="A47">
        <f>Times!A50</f>
        <v>49</v>
      </c>
      <c r="B47" s="69">
        <f>Times!$D$26/Times!D50</f>
        <v>0.8808995661211791</v>
      </c>
      <c r="C47" s="69">
        <f>Times!$I$26/Times!I50</f>
        <v>0.900990099009901</v>
      </c>
      <c r="D47" s="69">
        <f>Times!$R$26/Times!R50</f>
        <v>0.8949957503798903</v>
      </c>
      <c r="E47" s="69">
        <f>Times!$W$26/Times!W50</f>
        <v>0.8851974256392416</v>
      </c>
    </row>
    <row r="48" spans="1:5" ht="12.75">
      <c r="A48">
        <f>Times!A51</f>
        <v>50</v>
      </c>
      <c r="B48" s="69">
        <f>Times!$D$26/Times!D51</f>
        <v>0.8735024762747973</v>
      </c>
      <c r="C48" s="69">
        <f>Times!$I$26/Times!I51</f>
        <v>0.8938751926040062</v>
      </c>
      <c r="D48" s="69">
        <f>Times!$R$26/Times!R51</f>
        <v>0.8874984037798493</v>
      </c>
      <c r="E48" s="69">
        <f>Times!$W$26/Times!W51</f>
        <v>0.876054398347392</v>
      </c>
    </row>
    <row r="49" spans="1:5" ht="12.75">
      <c r="A49">
        <f>Times!A52</f>
        <v>51</v>
      </c>
      <c r="B49" s="69">
        <f>Times!$D$26/Times!D52</f>
        <v>0.8660978821463843</v>
      </c>
      <c r="C49" s="69">
        <f>Times!$I$26/Times!I52</f>
        <v>0.8865329512893982</v>
      </c>
      <c r="D49" s="69">
        <f>Times!$R$26/Times!R52</f>
        <v>0.8799027675790646</v>
      </c>
      <c r="E49" s="69">
        <f>Times!$W$26/Times!W52</f>
        <v>0.8668029296542327</v>
      </c>
    </row>
    <row r="50" spans="1:5" ht="12.75">
      <c r="A50">
        <f>Times!A53</f>
        <v>52</v>
      </c>
      <c r="B50" s="69">
        <f>Times!$D$26/Times!D53</f>
        <v>0.8587009737257247</v>
      </c>
      <c r="C50" s="69">
        <f>Times!$I$26/Times!I53</f>
        <v>0.8793103448275862</v>
      </c>
      <c r="D50" s="69">
        <f>Times!$R$26/Times!R53</f>
        <v>0.8721951709251543</v>
      </c>
      <c r="E50" s="69">
        <f>Times!$W$26/Times!W53</f>
        <v>0.8574557708508845</v>
      </c>
    </row>
    <row r="51" spans="1:5" ht="12.75">
      <c r="A51">
        <f>Times!A54</f>
        <v>53</v>
      </c>
      <c r="B51" s="69">
        <f>Times!$D$26/Times!D54</f>
        <v>0.8513030699329925</v>
      </c>
      <c r="C51" s="69">
        <f>Times!$I$26/Times!I54</f>
        <v>0.8720405862457723</v>
      </c>
      <c r="D51" s="69">
        <f>Times!$R$26/Times!R54</f>
        <v>0.8642988608665373</v>
      </c>
      <c r="E51" s="69">
        <f>Times!$W$26/Times!W54</f>
        <v>0.847884038653782</v>
      </c>
    </row>
    <row r="52" spans="1:5" ht="12.75">
      <c r="A52">
        <f>Times!A55</f>
        <v>54</v>
      </c>
      <c r="B52" s="69">
        <f>Times!$D$26/Times!D55</f>
        <v>0.8438961802678355</v>
      </c>
      <c r="C52" s="69">
        <f>Times!$I$26/Times!I55</f>
        <v>0.864890048453224</v>
      </c>
      <c r="D52" s="69">
        <f>Times!$R$26/Times!R55</f>
        <v>0.8563015167009598</v>
      </c>
      <c r="E52" s="69">
        <f>Times!$W$26/Times!W55</f>
        <v>0.8382474056992258</v>
      </c>
    </row>
    <row r="53" spans="1:5" ht="12.75">
      <c r="A53">
        <f>Times!A56</f>
        <v>55</v>
      </c>
      <c r="B53" s="69">
        <f>Times!$D$26/Times!D56</f>
        <v>0.836395427390619</v>
      </c>
      <c r="C53" s="69">
        <f>Times!$I$26/Times!I56</f>
        <v>0.8576972833117723</v>
      </c>
      <c r="D53" s="69">
        <f>Times!$R$26/Times!R56</f>
        <v>0.8482022992994703</v>
      </c>
      <c r="E53" s="69">
        <f>Times!$W$26/Times!W56</f>
        <v>0.8285574731357864</v>
      </c>
    </row>
    <row r="54" spans="1:5" ht="12.75">
      <c r="A54">
        <f>Times!A57</f>
        <v>56</v>
      </c>
      <c r="B54" s="69">
        <f>Times!$D$26/Times!D57</f>
        <v>0.8288962402856542</v>
      </c>
      <c r="C54" s="69">
        <f>Times!$I$26/Times!I57</f>
        <v>0.8504672897196262</v>
      </c>
      <c r="D54" s="69">
        <f>Times!$R$26/Times!R57</f>
        <v>0.8400009669075879</v>
      </c>
      <c r="E54" s="69">
        <f>Times!$W$26/Times!W57</f>
        <v>0.8186936936936937</v>
      </c>
    </row>
    <row r="55" spans="1:5" ht="12.75">
      <c r="A55">
        <f>Times!A58</f>
        <v>57</v>
      </c>
      <c r="B55" s="69">
        <f>Times!$D$26/Times!D58</f>
        <v>0.82129524850093</v>
      </c>
      <c r="C55" s="69">
        <f>Times!$I$26/Times!I58</f>
        <v>0.8432049418604651</v>
      </c>
      <c r="D55" s="69">
        <f>Times!$R$26/Times!R58</f>
        <v>0.8316978603226269</v>
      </c>
      <c r="E55" s="69">
        <f>Times!$W$26/Times!W58</f>
        <v>0.8086763070077865</v>
      </c>
    </row>
    <row r="56" spans="1:5" ht="12.75">
      <c r="A56">
        <f>Times!A59</f>
        <v>58</v>
      </c>
      <c r="B56" s="69">
        <f>Times!$D$26/Times!D59</f>
        <v>0.8136016905473662</v>
      </c>
      <c r="C56" s="69">
        <f>Times!$I$26/Times!I59</f>
        <v>0.8357644516477579</v>
      </c>
      <c r="D56" s="69">
        <f>Times!$R$26/Times!R59</f>
        <v>0.8231963708292371</v>
      </c>
      <c r="E56" s="69">
        <f>Times!$W$26/Times!W59</f>
        <v>0.7986503452605147</v>
      </c>
    </row>
    <row r="57" spans="1:5" ht="12.75">
      <c r="A57">
        <f>Times!A60</f>
        <v>59</v>
      </c>
      <c r="B57" s="69">
        <f>Times!$D$26/Times!D60</f>
        <v>0.8058040556923901</v>
      </c>
      <c r="C57" s="69">
        <f>Times!$I$26/Times!I60</f>
        <v>0.8281584582441114</v>
      </c>
      <c r="D57" s="69">
        <f>Times!$R$26/Times!R60</f>
        <v>0.8145994983473593</v>
      </c>
      <c r="E57" s="69">
        <f>Times!$W$26/Times!W60</f>
        <v>0.7882589838909542</v>
      </c>
    </row>
    <row r="58" spans="1:5" ht="12.75">
      <c r="A58">
        <f>Times!A61</f>
        <v>60</v>
      </c>
      <c r="B58" s="69">
        <f>Times!$D$26/Times!D61</f>
        <v>0.7980031595576619</v>
      </c>
      <c r="C58" s="69">
        <f>Times!$I$26/Times!I61</f>
        <v>0.8205445544554455</v>
      </c>
      <c r="D58" s="69">
        <f>Times!$R$26/Times!R61</f>
        <v>0.8058998828836141</v>
      </c>
      <c r="E58" s="69">
        <f>Times!$W$26/Times!W61</f>
        <v>0.7780155939458798</v>
      </c>
    </row>
    <row r="59" spans="1:5" ht="12.75">
      <c r="A59">
        <f>Times!A62</f>
        <v>61</v>
      </c>
      <c r="B59" s="69">
        <f>Times!$D$26/Times!D62</f>
        <v>0.7901046098403324</v>
      </c>
      <c r="C59" s="69">
        <f>Times!$I$26/Times!I62</f>
        <v>0.8126422693048503</v>
      </c>
      <c r="D59" s="69">
        <f>Times!$R$26/Times!R62</f>
        <v>0.7970000688057614</v>
      </c>
      <c r="E59" s="69">
        <f>Times!$W$26/Times!W62</f>
        <v>0.7674558890061831</v>
      </c>
    </row>
    <row r="60" spans="1:5" ht="12.75">
      <c r="A60">
        <f>Times!A63</f>
        <v>62</v>
      </c>
      <c r="B60" s="69">
        <f>Times!$D$26/Times!D63</f>
        <v>0.7820023778856632</v>
      </c>
      <c r="C60" s="69">
        <f>Times!$I$26/Times!I63</f>
        <v>0.8044721788871555</v>
      </c>
      <c r="D60" s="69">
        <f>Times!$R$26/Times!R63</f>
        <v>0.7880980189823897</v>
      </c>
      <c r="E60" s="69">
        <f>Times!$W$26/Times!W63</f>
        <v>0.7569537408894839</v>
      </c>
    </row>
    <row r="61" spans="1:5" ht="12.75">
      <c r="A61">
        <f>Times!A64</f>
        <v>63</v>
      </c>
      <c r="B61" s="69">
        <f>Times!$D$26/Times!D64</f>
        <v>0.7739033448136391</v>
      </c>
      <c r="C61" s="69">
        <f>Times!$I$26/Times!I64</f>
        <v>0.796328071379547</v>
      </c>
      <c r="D61" s="69">
        <f>Times!$R$26/Times!R64</f>
        <v>0.7789995180290752</v>
      </c>
      <c r="E61" s="69">
        <f>Times!$W$26/Times!W64</f>
        <v>0.7460782876411084</v>
      </c>
    </row>
    <row r="62" spans="1:5" ht="12.75">
      <c r="A62">
        <f>Times!A65</f>
        <v>64</v>
      </c>
      <c r="B62" s="69">
        <f>Times!$D$26/Times!D65</f>
        <v>0.7658031339445981</v>
      </c>
      <c r="C62" s="69">
        <f>Times!$I$26/Times!I65</f>
        <v>0.7879456706281833</v>
      </c>
      <c r="D62" s="69">
        <f>Times!$R$26/Times!R65</f>
        <v>0.7696993188991638</v>
      </c>
      <c r="E62" s="69">
        <f>Times!$W$26/Times!W65</f>
        <v>0.7352983672879642</v>
      </c>
    </row>
    <row r="63" spans="1:5" ht="12.75">
      <c r="A63">
        <f>Times!A66</f>
        <v>65</v>
      </c>
      <c r="B63" s="69">
        <f>Times!$D$26/Times!D66</f>
        <v>0.7574979605547291</v>
      </c>
      <c r="C63" s="69">
        <f>Times!$I$26/Times!I66</f>
        <v>0.7793450881612091</v>
      </c>
      <c r="D63" s="69">
        <f>Times!$R$26/Times!R66</f>
        <v>0.760402192584164</v>
      </c>
      <c r="E63" s="69">
        <f>Times!$W$26/Times!W66</f>
        <v>0.724309706803302</v>
      </c>
    </row>
    <row r="64" spans="1:5" ht="12.75">
      <c r="A64">
        <f>Times!A67</f>
        <v>66</v>
      </c>
      <c r="B64" s="69">
        <f>Times!$D$26/Times!D67</f>
        <v>0.7492020550789639</v>
      </c>
      <c r="C64" s="69">
        <f>Times!$I$26/Times!I67</f>
        <v>0.7706741946197276</v>
      </c>
      <c r="D64" s="69">
        <f>Times!$R$26/Times!R67</f>
        <v>0.7508967543973378</v>
      </c>
      <c r="E64" s="69">
        <f>Times!$W$26/Times!W67</f>
        <v>0.7132445690259285</v>
      </c>
    </row>
    <row r="65" spans="1:5" ht="12.75">
      <c r="A65">
        <f>Times!A68</f>
        <v>67</v>
      </c>
      <c r="B65" s="69">
        <f>Times!$D$26/Times!D68</f>
        <v>0.7407033761114891</v>
      </c>
      <c r="C65" s="69">
        <f>Times!$I$26/Times!I68</f>
        <v>0.7618187787261983</v>
      </c>
      <c r="D65" s="69">
        <f>Times!$R$26/Times!R68</f>
        <v>0.7413965991764631</v>
      </c>
      <c r="E65" s="69">
        <f>Times!$W$26/Times!W68</f>
        <v>0.7020278659125396</v>
      </c>
    </row>
    <row r="66" spans="1:5" ht="12.75">
      <c r="A66">
        <f>Times!A69</f>
        <v>68</v>
      </c>
      <c r="B66" s="69">
        <f>Times!$D$26/Times!D69</f>
        <v>0.7322000092768681</v>
      </c>
      <c r="C66" s="69">
        <f>Times!$I$26/Times!I69</f>
        <v>0.7527980535279806</v>
      </c>
      <c r="D66" s="69">
        <f>Times!$R$26/Times!R69</f>
        <v>0.7316020505910713</v>
      </c>
      <c r="E66" s="69">
        <f>Times!$W$26/Times!W69</f>
        <v>0.6905957389062288</v>
      </c>
    </row>
    <row r="67" spans="1:5" ht="12.75">
      <c r="A67">
        <f>Times!A70</f>
        <v>69</v>
      </c>
      <c r="B67" s="69">
        <f>Times!$D$26/Times!D70</f>
        <v>0.723599316991554</v>
      </c>
      <c r="C67" s="69">
        <f>Times!$I$26/Times!I70</f>
        <v>0.74375</v>
      </c>
      <c r="D67" s="69">
        <f>Times!$R$26/Times!R70</f>
        <v>0.721800450735821</v>
      </c>
      <c r="E67" s="69">
        <f>Times!$W$26/Times!W70</f>
        <v>0.6790765946090206</v>
      </c>
    </row>
    <row r="68" spans="1:5" ht="12.75">
      <c r="A68">
        <f>Times!A71</f>
        <v>70</v>
      </c>
      <c r="B68" s="69">
        <f>Times!$D$26/Times!D71</f>
        <v>0.7150039633110632</v>
      </c>
      <c r="C68" s="69">
        <f>Times!$I$26/Times!I71</f>
        <v>0.7343354430379747</v>
      </c>
      <c r="D68" s="69">
        <f>Times!$R$26/Times!R71</f>
        <v>0.7117984432609586</v>
      </c>
      <c r="E68" s="69">
        <f>Times!$W$26/Times!W71</f>
        <v>0.6674973767051416</v>
      </c>
    </row>
    <row r="69" spans="1:5" ht="12.75">
      <c r="A69">
        <f>Times!A72</f>
        <v>71</v>
      </c>
      <c r="B69" s="69">
        <f>Times!$D$26/Times!D72</f>
        <v>0.706199460916442</v>
      </c>
      <c r="C69" s="69">
        <f>Times!$I$26/Times!I72</f>
        <v>0.7248164922692488</v>
      </c>
      <c r="D69" s="69">
        <f>Times!$R$26/Times!R72</f>
        <v>0.7018004463248882</v>
      </c>
      <c r="E69" s="69">
        <f>Times!$W$26/Times!W72</f>
        <v>0.655798969072165</v>
      </c>
    </row>
    <row r="70" spans="1:5" ht="12.75">
      <c r="A70">
        <f>Times!A73</f>
        <v>72</v>
      </c>
      <c r="B70" s="69">
        <f>Times!$D$26/Times!D73</f>
        <v>0.6974011199593545</v>
      </c>
      <c r="C70" s="69">
        <f>Times!$I$26/Times!I73</f>
        <v>0.7152103559870551</v>
      </c>
      <c r="D70" s="69">
        <f>Times!$R$26/Times!R73</f>
        <v>0.6915010049151294</v>
      </c>
      <c r="E70" s="69">
        <f>Times!$W$26/Times!W73</f>
        <v>0.6439326837909655</v>
      </c>
    </row>
    <row r="71" spans="1:5" ht="12.75">
      <c r="A71">
        <f>Times!A74</f>
        <v>73</v>
      </c>
      <c r="B71" s="69">
        <f>Times!$D$26/Times!D74</f>
        <v>0.6884963471813323</v>
      </c>
      <c r="C71" s="69">
        <f>Times!$I$26/Times!I74</f>
        <v>0.7054263565891473</v>
      </c>
      <c r="D71" s="69">
        <f>Times!$R$26/Times!R74</f>
        <v>0.6811989100817438</v>
      </c>
      <c r="E71" s="69">
        <f>Times!$W$26/Times!W74</f>
        <v>0.6320168902136115</v>
      </c>
    </row>
    <row r="72" spans="1:5" ht="12.75">
      <c r="A72">
        <f>Times!A75</f>
        <v>74</v>
      </c>
      <c r="B72" s="69">
        <f>Times!$D$26/Times!D75</f>
        <v>0.6795015281305152</v>
      </c>
      <c r="C72" s="69">
        <f>Times!$I$26/Times!I75</f>
        <v>0.6953850764159425</v>
      </c>
      <c r="D72" s="69">
        <f>Times!$R$26/Times!R75</f>
        <v>0.670797621805266</v>
      </c>
      <c r="E72" s="69">
        <f>Times!$W$26/Times!W75</f>
        <v>0.6199293458399318</v>
      </c>
    </row>
    <row r="73" spans="1:5" ht="12.75">
      <c r="A73">
        <f>Times!A76</f>
        <v>75</v>
      </c>
      <c r="B73" s="69">
        <f>Times!$D$26/Times!D76</f>
        <v>0.6703968742700613</v>
      </c>
      <c r="C73" s="69">
        <f>Times!$I$26/Times!I76</f>
        <v>0.6853219137625517</v>
      </c>
      <c r="D73" s="69">
        <f>Times!$R$26/Times!R76</f>
        <v>0.6602008150392795</v>
      </c>
      <c r="E73" s="69">
        <f>Times!$W$26/Times!W76</f>
        <v>0.6075692454632283</v>
      </c>
    </row>
    <row r="74" spans="1:5" ht="12.75">
      <c r="A74">
        <f>Times!A77</f>
        <v>76</v>
      </c>
      <c r="B74" s="69">
        <f>Times!$D$26/Times!D77</f>
        <v>0.661200469129597</v>
      </c>
      <c r="C74" s="69">
        <f>Times!$I$26/Times!I77</f>
        <v>0.674956369982548</v>
      </c>
      <c r="D74" s="69">
        <f>Times!$R$26/Times!R77</f>
        <v>0.6495023597028177</v>
      </c>
      <c r="E74" s="69">
        <f>Times!$W$26/Times!W77</f>
        <v>0.5952743010878465</v>
      </c>
    </row>
    <row r="75" spans="1:5" ht="12.75">
      <c r="A75">
        <f>Times!A78</f>
        <v>77</v>
      </c>
      <c r="B75" s="69">
        <f>Times!$D$26/Times!D78</f>
        <v>0.6519970261451405</v>
      </c>
      <c r="C75" s="69">
        <f>Times!$I$26/Times!I78</f>
        <v>0.6645189003436426</v>
      </c>
      <c r="D75" s="69">
        <f>Times!$R$26/Times!R78</f>
        <v>0.6385989414877977</v>
      </c>
      <c r="E75" s="69">
        <f>Times!$W$26/Times!W78</f>
        <v>0.5827989005955108</v>
      </c>
    </row>
    <row r="76" spans="1:5" ht="12.75">
      <c r="A76">
        <f>Times!A79</f>
        <v>78</v>
      </c>
      <c r="B76" s="69">
        <f>Times!$D$26/Times!D79</f>
        <v>0.6426012619580703</v>
      </c>
      <c r="C76" s="69">
        <f>Times!$I$26/Times!I79</f>
        <v>0.6539382837818797</v>
      </c>
      <c r="D76" s="69">
        <f>Times!$R$26/Times!R79</f>
        <v>0.6276981990932244</v>
      </c>
      <c r="E76" s="69">
        <f>Times!$W$26/Times!W79</f>
        <v>0.5701960784313725</v>
      </c>
    </row>
    <row r="77" spans="1:5" ht="12.75">
      <c r="A77">
        <f>Times!A80</f>
        <v>79</v>
      </c>
      <c r="B77" s="69">
        <f>Times!$D$26/Times!D80</f>
        <v>0.6331992900049137</v>
      </c>
      <c r="C77" s="69">
        <f>Times!$I$26/Times!I80</f>
        <v>0.6432432432432432</v>
      </c>
      <c r="D77" s="69">
        <f>Times!$R$26/Times!R80</f>
        <v>0.616599387836579</v>
      </c>
      <c r="E77" s="69">
        <f>Times!$W$26/Times!W80</f>
        <v>0.5575153374233128</v>
      </c>
    </row>
    <row r="78" spans="1:5" ht="12.75">
      <c r="A78">
        <f>Times!A81</f>
        <v>80</v>
      </c>
      <c r="B78" s="69">
        <f>Times!$D$26/Times!D81</f>
        <v>0.6236986111934254</v>
      </c>
      <c r="C78" s="69">
        <f>Times!$I$26/Times!I81</f>
        <v>0.6322026971802207</v>
      </c>
      <c r="D78" s="69">
        <f>Times!$R$26/Times!R81</f>
        <v>0.6054006968641115</v>
      </c>
      <c r="E78" s="69">
        <f>Times!$W$26/Times!W81</f>
        <v>0.5446858610724606</v>
      </c>
    </row>
    <row r="79" spans="1:5" ht="12.75">
      <c r="A79">
        <f>Times!A82</f>
        <v>81</v>
      </c>
      <c r="B79" s="69">
        <f>Times!$D$26/Times!D82</f>
        <v>0.6141978911326408</v>
      </c>
      <c r="C79" s="69">
        <f>Times!$I$26/Times!I82</f>
        <v>0.6211188436830836</v>
      </c>
      <c r="D79" s="69">
        <f>Times!$R$26/Times!R82</f>
        <v>0.5940983382342885</v>
      </c>
      <c r="E79" s="69">
        <f>Times!$W$26/Times!W82</f>
        <v>0.531710375091422</v>
      </c>
    </row>
    <row r="80" spans="1:5" ht="12.75">
      <c r="A80">
        <f>Times!A83</f>
        <v>82</v>
      </c>
      <c r="B80" s="69">
        <f>Times!$D$26/Times!D83</f>
        <v>0.604501546149943</v>
      </c>
      <c r="C80" s="69">
        <f>Times!$I$26/Times!I83</f>
        <v>0.609935602575897</v>
      </c>
      <c r="D80" s="69">
        <f>Times!$R$26/Times!R83</f>
        <v>0.5825991466389477</v>
      </c>
      <c r="E80" s="69">
        <f>Times!$W$26/Times!W83</f>
        <v>0.5185977784571487</v>
      </c>
    </row>
    <row r="81" spans="1:5" ht="12.75">
      <c r="A81">
        <f>Times!A84</f>
        <v>83</v>
      </c>
      <c r="B81" s="69">
        <f>Times!$D$26/Times!D84</f>
        <v>0.5947982704861667</v>
      </c>
      <c r="C81" s="69">
        <f>Times!$I$26/Times!I84</f>
        <v>0.5985297910755739</v>
      </c>
      <c r="D81" s="69">
        <f>Times!$R$26/Times!R84</f>
        <v>0.5710998808496651</v>
      </c>
      <c r="E81" s="69">
        <f>Times!$W$26/Times!W84</f>
        <v>0.5054126526963949</v>
      </c>
    </row>
    <row r="82" spans="1:5" ht="12.75">
      <c r="A82">
        <f>Times!A85</f>
        <v>84</v>
      </c>
      <c r="B82" s="69">
        <f>Times!$D$26/Times!D85</f>
        <v>0.585000231620883</v>
      </c>
      <c r="C82" s="69">
        <f>Times!$I$26/Times!I85</f>
        <v>0.5868740515933232</v>
      </c>
      <c r="D82" s="69">
        <f>Times!$R$26/Times!R85</f>
        <v>0.5594011590470057</v>
      </c>
      <c r="E82" s="69">
        <f>Times!$W$26/Times!W85</f>
        <v>0.49202359083438074</v>
      </c>
    </row>
    <row r="83" spans="1:5" ht="12.75">
      <c r="A83">
        <f>Times!A86</f>
        <v>85</v>
      </c>
      <c r="B83" s="69">
        <f>Times!$D$26/Times!D86</f>
        <v>0.5751004162378293</v>
      </c>
      <c r="C83" s="69">
        <f>Times!$I$26/Times!I86</f>
        <v>0.5752354982647496</v>
      </c>
      <c r="D83" s="69">
        <f>Times!$R$26/Times!R86</f>
        <v>0.547601976094613</v>
      </c>
      <c r="E83" s="69">
        <f>Times!$W$26/Times!W86</f>
        <v>0.47860434496379195</v>
      </c>
    </row>
    <row r="84" spans="1:5" ht="12.75">
      <c r="A84">
        <f>Times!A87</f>
        <v>86</v>
      </c>
      <c r="B84" s="69">
        <f>Times!$D$26/Times!D87</f>
        <v>0.5650998782845278</v>
      </c>
      <c r="C84" s="69">
        <f>Times!$I$26/Times!I87</f>
        <v>0.5632965165675446</v>
      </c>
      <c r="D84" s="69">
        <f>Times!$R$26/Times!R87</f>
        <v>0.5356000647343964</v>
      </c>
      <c r="E84" s="69">
        <f>Times!$W$26/Times!W87</f>
        <v>0.46500365497076024</v>
      </c>
    </row>
    <row r="85" spans="1:5" ht="12.75">
      <c r="A85">
        <f>Times!A88</f>
        <v>87</v>
      </c>
      <c r="B85" s="69">
        <f>Times!$D$26/Times!D88</f>
        <v>0.5550018018968259</v>
      </c>
      <c r="C85" s="69">
        <f>Times!$I$26/Times!I88</f>
        <v>0.5513186029935851</v>
      </c>
      <c r="D85" s="69">
        <f>Times!$R$26/Times!R88</f>
        <v>0.5235010545344984</v>
      </c>
      <c r="E85" s="69">
        <f>Times!$W$26/Times!W88</f>
        <v>0.4513125221709826</v>
      </c>
    </row>
    <row r="86" spans="1:5" ht="12.75">
      <c r="A86">
        <f>Times!A89</f>
        <v>88</v>
      </c>
      <c r="B86" s="69">
        <f>Times!$D$26/Times!D89</f>
        <v>0.5449006713957782</v>
      </c>
      <c r="C86" s="69">
        <f>Times!$I$26/Times!I89</f>
        <v>0.5390870019746776</v>
      </c>
      <c r="D86" s="69">
        <f>Times!$R$26/Times!R89</f>
        <v>0.5113001000529692</v>
      </c>
      <c r="E86" s="69">
        <f>Times!$W$26/Times!W89</f>
        <v>0.4373871938117748</v>
      </c>
    </row>
    <row r="87" spans="1:5" ht="12.75">
      <c r="A87">
        <f>Times!A90</f>
        <v>89</v>
      </c>
      <c r="B87" s="69">
        <f>Times!$D$26/Times!D90</f>
        <v>0.5345988095943647</v>
      </c>
      <c r="C87" s="69">
        <f>Times!$I$26/Times!I90</f>
        <v>0.5267279536942459</v>
      </c>
      <c r="D87" s="69">
        <f>Times!$R$26/Times!R90</f>
        <v>0.4989984132568442</v>
      </c>
      <c r="E87" s="69">
        <f>Times!$W$26/Times!W90</f>
        <v>0.4234833985187651</v>
      </c>
    </row>
    <row r="88" spans="1:5" ht="12.75">
      <c r="A88">
        <f>Times!A91</f>
        <v>90</v>
      </c>
      <c r="B88" s="69">
        <f>Times!$D$26/Times!D91</f>
        <v>0.5243002217037142</v>
      </c>
      <c r="C88" s="69">
        <f>Times!$I$26/Times!I91</f>
        <v>0.5141812541546643</v>
      </c>
      <c r="D88" s="69">
        <f>Times!$R$26/Times!R91</f>
        <v>0.4865992662503151</v>
      </c>
      <c r="E88" s="69">
        <f>Times!$W$26/Times!W91</f>
        <v>0.4094127111826227</v>
      </c>
    </row>
    <row r="89" spans="1:5" ht="12.75">
      <c r="A89">
        <f>Times!A92</f>
        <v>91</v>
      </c>
      <c r="B89" s="69">
        <f>Times!$D$26/Times!D92</f>
        <v>0.5139010971123481</v>
      </c>
      <c r="C89" s="69">
        <f>Times!$I$26/Times!I92</f>
        <v>0.5015128593040847</v>
      </c>
      <c r="D89" s="69">
        <f>Times!$R$26/Times!R92</f>
        <v>0.4740015277171541</v>
      </c>
      <c r="E89" s="69">
        <f>Times!$W$26/Times!W92</f>
        <v>0.39520074551525974</v>
      </c>
    </row>
    <row r="90" spans="1:5" ht="12.75">
      <c r="A90">
        <f>Times!A93</f>
        <v>92</v>
      </c>
      <c r="B90" s="69">
        <f>Times!$D$26/Times!D93</f>
        <v>0.5035006299539097</v>
      </c>
      <c r="C90" s="69">
        <f>Times!$I$26/Times!I93</f>
        <v>0.48868063599031275</v>
      </c>
      <c r="D90" s="69">
        <f>Times!$R$26/Times!R93</f>
        <v>0.4613005356396148</v>
      </c>
      <c r="E90" s="69">
        <f>Times!$W$26/Times!W93</f>
        <v>0.3807991619275666</v>
      </c>
    </row>
    <row r="91" spans="1:5" ht="12.75">
      <c r="A91">
        <f>Times!A94</f>
        <v>93</v>
      </c>
      <c r="B91" s="69">
        <f>Times!$D$26/Times!D94</f>
        <v>0.49290024433463697</v>
      </c>
      <c r="C91" s="69">
        <f>Times!$I$26/Times!I94</f>
        <v>0.4757072570725707</v>
      </c>
      <c r="D91" s="69">
        <f>Times!$R$26/Times!R94</f>
        <v>0.44849994514748875</v>
      </c>
      <c r="E91" s="69">
        <f>Times!$W$26/Times!W94</f>
        <v>0.36640506875944995</v>
      </c>
    </row>
    <row r="92" spans="1:5" ht="12.75">
      <c r="A92">
        <f>Times!A95</f>
        <v>94</v>
      </c>
      <c r="B92" s="69">
        <f>Times!$D$26/Times!D95</f>
        <v>0.48229821492678676</v>
      </c>
      <c r="C92" s="69">
        <f>Times!$I$26/Times!I95</f>
        <v>0.4624813153961136</v>
      </c>
      <c r="D92" s="69">
        <f>Times!$R$26/Times!R95</f>
        <v>0.43560012535255405</v>
      </c>
      <c r="E92" s="69">
        <f>Times!$W$26/Times!W95</f>
        <v>0.3517904050877921</v>
      </c>
    </row>
    <row r="93" spans="1:5" ht="12.75">
      <c r="A93">
        <f>Times!A96</f>
        <v>95</v>
      </c>
      <c r="B93" s="69">
        <f>Times!$D$26/Times!D96</f>
        <v>0.4715010043534427</v>
      </c>
      <c r="C93" s="69">
        <f>Times!$I$26/Times!I96</f>
        <v>0.4491869918699187</v>
      </c>
      <c r="D93" s="69">
        <f>Times!$R$26/Times!R96</f>
        <v>0.42250010638491886</v>
      </c>
      <c r="E93" s="69">
        <f>Times!$W$26/Times!W96</f>
        <v>0.3371091679915209</v>
      </c>
    </row>
    <row r="94" spans="1:5" ht="12.75">
      <c r="A94">
        <f>Times!A97</f>
        <v>96</v>
      </c>
      <c r="B94" s="69">
        <f>Times!$D$26/Times!D97</f>
        <v>0.4606988333321173</v>
      </c>
      <c r="C94" s="69">
        <f>Times!$I$26/Times!I97</f>
        <v>0.43569282763800227</v>
      </c>
      <c r="D94" s="69">
        <f>Times!$R$26/Times!R97</f>
        <v>0.40930024381338265</v>
      </c>
      <c r="E94" s="69">
        <f>Times!$W$26/Times!W97</f>
        <v>0.32229259024699175</v>
      </c>
    </row>
    <row r="95" spans="1:5" ht="12.75">
      <c r="A95">
        <f>Times!A98</f>
        <v>97</v>
      </c>
      <c r="B95" s="69">
        <f>Times!$D$26/Times!D98</f>
        <v>0.44989917846480504</v>
      </c>
      <c r="C95" s="69">
        <f>Times!$I$26/Times!I98</f>
        <v>0.42210095497953615</v>
      </c>
      <c r="D95" s="69">
        <f>Times!$R$26/Times!R98</f>
        <v>0.39600011395686735</v>
      </c>
      <c r="E95" s="69">
        <f>Times!$W$26/Times!W98</f>
        <v>0.30730676328502415</v>
      </c>
    </row>
    <row r="96" spans="1:5" ht="12.75">
      <c r="A96">
        <f>Times!A99</f>
        <v>98</v>
      </c>
      <c r="B96" s="69">
        <f>Times!$D$26/Times!D99</f>
        <v>0.43890062837123944</v>
      </c>
      <c r="C96" s="69">
        <f>Times!$I$26/Times!I99</f>
        <v>0.40828714700448665</v>
      </c>
      <c r="D96" s="69">
        <f>Times!$R$26/Times!R99</f>
        <v>0.38259969612225575</v>
      </c>
      <c r="E96" s="69">
        <f>Times!$W$26/Times!W99</f>
        <v>0.292303273980471</v>
      </c>
    </row>
    <row r="97" spans="1:5" ht="12.75">
      <c r="A97">
        <f>Times!A100</f>
        <v>99</v>
      </c>
      <c r="B97" s="69">
        <f>Times!$D$26/Times!D100</f>
        <v>0.42780002303569853</v>
      </c>
      <c r="C97" s="69">
        <f>Times!$I$26/Times!I100</f>
        <v>0.3943075615972812</v>
      </c>
      <c r="D97" s="69">
        <f>Times!$R$26/Times!R100</f>
        <v>0.368999771697983</v>
      </c>
      <c r="E97" s="69">
        <f>Times!$W$26/Times!W100</f>
        <v>0.2771031854070242</v>
      </c>
    </row>
    <row r="98" spans="1:5" ht="12.75">
      <c r="A98">
        <f>Times!A101</f>
        <v>100</v>
      </c>
      <c r="B98" s="69">
        <f>Times!$D$26/Times!D101</f>
        <v>0.4166991137010077</v>
      </c>
      <c r="C98" s="69">
        <f>Times!$I$26/Times!I101</f>
        <v>0.3801916932907348</v>
      </c>
      <c r="D98" s="69">
        <f>Times!$R$26/Times!R101</f>
        <v>0.3554005543225912</v>
      </c>
      <c r="E98" s="69">
        <f>Times!$W$26/Times!W101</f>
        <v>0.26169906407487403</v>
      </c>
    </row>
    <row r="99" spans="2:5" ht="12.75">
      <c r="B99" s="69"/>
      <c r="C99" s="69"/>
      <c r="D99" s="69"/>
      <c r="E99" s="69"/>
    </row>
    <row r="100" spans="2:5" ht="12.75">
      <c r="B100" s="69"/>
      <c r="C100" s="69"/>
      <c r="D100" s="69"/>
      <c r="E100" s="69"/>
    </row>
    <row r="101" spans="2:5" ht="12.75">
      <c r="B101" s="69"/>
      <c r="C101" s="69"/>
      <c r="D101" s="69"/>
      <c r="E101" s="69"/>
    </row>
    <row r="102" spans="2:5" ht="12.75">
      <c r="B102" s="69"/>
      <c r="C102" s="69"/>
      <c r="D102" s="69"/>
      <c r="E102" s="69"/>
    </row>
    <row r="103" spans="2:5" ht="12.75">
      <c r="B103" s="69"/>
      <c r="C103" s="69"/>
      <c r="D103" s="69"/>
      <c r="E103" s="69"/>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Dartmouth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D. Price</dc:creator>
  <cp:keywords/>
  <dc:description/>
  <cp:lastModifiedBy>Alex Price</cp:lastModifiedBy>
  <cp:lastPrinted>2009-08-23T20:56:33Z</cp:lastPrinted>
  <dcterms:created xsi:type="dcterms:W3CDTF">2006-07-08T21:17:04Z</dcterms:created>
  <dcterms:modified xsi:type="dcterms:W3CDTF">2011-08-18T05:13:26Z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Sensitivity">
    <vt:lpwstr>Unrestricted</vt:lpwstr>
  </property>
  <property fmtid="{D5CDD505-2E9C-101B-9397-08002B2CF9AE}" pid="3" name="SensitivityID">
    <vt:lpwstr>0</vt:lpwstr>
  </property>
  <property fmtid="{D5CDD505-2E9C-101B-9397-08002B2CF9AE}" pid="4" name="ThirdParty">
    <vt:lpwstr/>
  </property>
</Properties>
</file>