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<sst xmlns="http://schemas.openxmlformats.org/spreadsheetml/2006/main" count="772" uniqueCount="321">
  <si>
    <t>Pace</t>
  </si>
  <si>
    <t>(min/km)</t>
  </si>
  <si>
    <t>Time</t>
  </si>
  <si>
    <t>3 km</t>
  </si>
  <si>
    <t>5 km</t>
  </si>
  <si>
    <t>10 km</t>
  </si>
  <si>
    <t>20 km</t>
  </si>
  <si>
    <t>Marathon</t>
  </si>
  <si>
    <t>1.609344 km</t>
  </si>
  <si>
    <t>50 km</t>
  </si>
  <si>
    <t>miles</t>
  </si>
  <si>
    <t>42.195 km</t>
  </si>
  <si>
    <t>Fractional</t>
  </si>
  <si>
    <t>minutes</t>
  </si>
  <si>
    <t>Seconds</t>
  </si>
  <si>
    <t>Minutes</t>
  </si>
  <si>
    <t>Min:Sec</t>
  </si>
  <si>
    <t>for this</t>
  </si>
  <si>
    <t>pace</t>
  </si>
  <si>
    <t>Miles: 1.00</t>
  </si>
  <si>
    <t>decomal</t>
  </si>
  <si>
    <t>per km</t>
  </si>
  <si>
    <t>per mile</t>
  </si>
  <si>
    <t>1:00:04.0</t>
  </si>
  <si>
    <t>1:00:35.0</t>
  </si>
  <si>
    <t>1:01:06.1</t>
  </si>
  <si>
    <t>1:01:37.2</t>
  </si>
  <si>
    <t>1:02:08.2</t>
  </si>
  <si>
    <t>1:02:39.3</t>
  </si>
  <si>
    <t>1:03:10.4</t>
  </si>
  <si>
    <t>1:03:41.4</t>
  </si>
  <si>
    <t>1:04:12.5</t>
  </si>
  <si>
    <t>1:04:43.6</t>
  </si>
  <si>
    <t>1:05:14.6</t>
  </si>
  <si>
    <t>1:05:45.7</t>
  </si>
  <si>
    <t>1:06:16.8</t>
  </si>
  <si>
    <t>1:06:47.8</t>
  </si>
  <si>
    <t>1:07:18:9</t>
  </si>
  <si>
    <t>1:07:50.0</t>
  </si>
  <si>
    <t>1:08:21.0</t>
  </si>
  <si>
    <t>1:08:52.1</t>
  </si>
  <si>
    <t>1:09:23.2</t>
  </si>
  <si>
    <t>1:09:54.3</t>
  </si>
  <si>
    <t>1:10:25.3</t>
  </si>
  <si>
    <t>1:10:56.4</t>
  </si>
  <si>
    <t>1:11:27.5</t>
  </si>
  <si>
    <t>1:11:58.5</t>
  </si>
  <si>
    <t>1:12:29.6</t>
  </si>
  <si>
    <t>1:13:00.7</t>
  </si>
  <si>
    <t>1:13:31.7</t>
  </si>
  <si>
    <t>1:14:02.8</t>
  </si>
  <si>
    <t>1:14:33.9</t>
  </si>
  <si>
    <t>1:15:04.9</t>
  </si>
  <si>
    <t>1:15:36.0</t>
  </si>
  <si>
    <t>1:16:07.1</t>
  </si>
  <si>
    <t>1:16:38.1</t>
  </si>
  <si>
    <t>1:17:09.2</t>
  </si>
  <si>
    <t>1:17:40.3</t>
  </si>
  <si>
    <t>1:18:11.4</t>
  </si>
  <si>
    <t>1:18:42.4</t>
  </si>
  <si>
    <t>1:19:13.5</t>
  </si>
  <si>
    <t>1:19:44.6</t>
  </si>
  <si>
    <t>1:20:15.6</t>
  </si>
  <si>
    <t>1:20:46.7</t>
  </si>
  <si>
    <t>Hr:Min:Sec</t>
  </si>
  <si>
    <t>1:21:48.8</t>
  </si>
  <si>
    <t>1:22:51.0</t>
  </si>
  <si>
    <t>1:23:53.1</t>
  </si>
  <si>
    <t>1:24:55.2</t>
  </si>
  <si>
    <t>1:25:57.4</t>
  </si>
  <si>
    <t>1:26:59.5</t>
  </si>
  <si>
    <t>1:28:01.7</t>
  </si>
  <si>
    <t>1:29:03.8</t>
  </si>
  <si>
    <t>1:30:05.9</t>
  </si>
  <si>
    <t>1:31:08.1</t>
  </si>
  <si>
    <t>1:32:10.2</t>
  </si>
  <si>
    <t>1:33:12.3</t>
  </si>
  <si>
    <t>1:34:14.5</t>
  </si>
  <si>
    <t>1:35:16.6</t>
  </si>
  <si>
    <t>1:36:18.8</t>
  </si>
  <si>
    <t>1:37:20.9</t>
  </si>
  <si>
    <t>1:38:23.0</t>
  </si>
  <si>
    <t>1:39:25.2</t>
  </si>
  <si>
    <t>1:40:27.3</t>
  </si>
  <si>
    <t>1:41:29.4</t>
  </si>
  <si>
    <t>1:42:31.6</t>
  </si>
  <si>
    <t>1:43:33.7</t>
  </si>
  <si>
    <t>1:44:35.8</t>
  </si>
  <si>
    <t>1:45:38.0</t>
  </si>
  <si>
    <t>1:46:40.1</t>
  </si>
  <si>
    <t>1:47:42.3</t>
  </si>
  <si>
    <t>1:48:44.4</t>
  </si>
  <si>
    <t>1:49:46.5</t>
  </si>
  <si>
    <t>1:50:48.7</t>
  </si>
  <si>
    <t>1:51:50.8</t>
  </si>
  <si>
    <t>1:52:52.9</t>
  </si>
  <si>
    <t>1:53:55.1</t>
  </si>
  <si>
    <t>1:54:57.2</t>
  </si>
  <si>
    <t>1:55:59.4</t>
  </si>
  <si>
    <t>1:57:01.5</t>
  </si>
  <si>
    <t>1:58:03.6</t>
  </si>
  <si>
    <t>1:59:05.8</t>
  </si>
  <si>
    <t>2:00:07.9</t>
  </si>
  <si>
    <t>2:01:10.0</t>
  </si>
  <si>
    <t>2:02:12.2</t>
  </si>
  <si>
    <t>2:03:14.3</t>
  </si>
  <si>
    <t>2:04:16.5</t>
  </si>
  <si>
    <t>2:05:18.6</t>
  </si>
  <si>
    <t>2:06:20.7</t>
  </si>
  <si>
    <t>2:07:22.9</t>
  </si>
  <si>
    <t>2:08:25.0</t>
  </si>
  <si>
    <t>2:09:27.1</t>
  </si>
  <si>
    <t>2:10:29.3</t>
  </si>
  <si>
    <t>2:11:31.4</t>
  </si>
  <si>
    <t>2:12:33.6</t>
  </si>
  <si>
    <t>2:13:35.7</t>
  </si>
  <si>
    <t>2:14:37.8</t>
  </si>
  <si>
    <t>2:15:40.0</t>
  </si>
  <si>
    <t>2:16:42.1</t>
  </si>
  <si>
    <t>2:17:44.2</t>
  </si>
  <si>
    <t>2:18:46.4</t>
  </si>
  <si>
    <t>2:19:48.5</t>
  </si>
  <si>
    <t>2:20:50.6</t>
  </si>
  <si>
    <t>2:21:52.8</t>
  </si>
  <si>
    <t>2:22:54.9</t>
  </si>
  <si>
    <t>2:23:57.1</t>
  </si>
  <si>
    <t>2:24:59.2</t>
  </si>
  <si>
    <t>2:26:01.3</t>
  </si>
  <si>
    <t>2:27:03.5</t>
  </si>
  <si>
    <t>2:28:05.6</t>
  </si>
  <si>
    <t>2:29:07.7</t>
  </si>
  <si>
    <t>2:30:09.9</t>
  </si>
  <si>
    <t>2:31:12.0</t>
  </si>
  <si>
    <t>2:32:14.2</t>
  </si>
  <si>
    <t>2:33:16.3</t>
  </si>
  <si>
    <t>2:34:18.4</t>
  </si>
  <si>
    <t>2:35:20.6</t>
  </si>
  <si>
    <t>2:36:22.7</t>
  </si>
  <si>
    <t>2:27:24.8</t>
  </si>
  <si>
    <t>2:28:27.0</t>
  </si>
  <si>
    <t>2:29:29.1</t>
  </si>
  <si>
    <t>2:30:31.3</t>
  </si>
  <si>
    <t>2:31:33.4</t>
  </si>
  <si>
    <t>2:37:18.8</t>
  </si>
  <si>
    <t>2:39:29.8</t>
  </si>
  <si>
    <t>2:41:40.9</t>
  </si>
  <si>
    <t>2:43:52.0</t>
  </si>
  <si>
    <t>2:46:03.1</t>
  </si>
  <si>
    <t>2:48:14.2</t>
  </si>
  <si>
    <t>2:50:25.3</t>
  </si>
  <si>
    <t>2:52:36.4</t>
  </si>
  <si>
    <t>2:54:47.5</t>
  </si>
  <si>
    <t>2:56:58.6</t>
  </si>
  <si>
    <t>2:59:09.7</t>
  </si>
  <si>
    <t>3:01:20.8</t>
  </si>
  <si>
    <t>3:03:31.9</t>
  </si>
  <si>
    <t>3:05:43.0</t>
  </si>
  <si>
    <t>3:07:54.1</t>
  </si>
  <si>
    <t>3:10:05.2</t>
  </si>
  <si>
    <t>3:12:16.2</t>
  </si>
  <si>
    <t>3:14:27.2</t>
  </si>
  <si>
    <t>3:16:38.4</t>
  </si>
  <si>
    <t>3:18:49.5</t>
  </si>
  <si>
    <t>3:21:00.6</t>
  </si>
  <si>
    <t>3:23:11.7</t>
  </si>
  <si>
    <t>3:25:22.8</t>
  </si>
  <si>
    <t>3:27:33.9</t>
  </si>
  <si>
    <t>3:29:45.0</t>
  </si>
  <si>
    <t>3:31:56.1</t>
  </si>
  <si>
    <t>3:34:07.2</t>
  </si>
  <si>
    <t>3:36:18.3</t>
  </si>
  <si>
    <t>3:38:29.4</t>
  </si>
  <si>
    <t>3:40:40.5</t>
  </si>
  <si>
    <t>3:42:51.6</t>
  </si>
  <si>
    <t>3:45:02.7</t>
  </si>
  <si>
    <t>3:47:13.7</t>
  </si>
  <si>
    <t>3:49:24.8</t>
  </si>
  <si>
    <t>3:51:35.9</t>
  </si>
  <si>
    <t>3:53:47.0</t>
  </si>
  <si>
    <t>3:55:58.1</t>
  </si>
  <si>
    <t>3:58:09.2</t>
  </si>
  <si>
    <t>4:00:20.3</t>
  </si>
  <si>
    <t>4:02:31.4</t>
  </si>
  <si>
    <t>4:04:42.5</t>
  </si>
  <si>
    <t>4:06:53.6</t>
  </si>
  <si>
    <t>4:09:04.7</t>
  </si>
  <si>
    <t>4:11:15.8</t>
  </si>
  <si>
    <t>4:13:26.9</t>
  </si>
  <si>
    <t>4:15:38.0</t>
  </si>
  <si>
    <t>4:17:49.1</t>
  </si>
  <si>
    <t>4:20:00.2</t>
  </si>
  <si>
    <t>4:22:11.3</t>
  </si>
  <si>
    <t>4:24:22.3</t>
  </si>
  <si>
    <t>4:26:33.4</t>
  </si>
  <si>
    <t>4:28:44.5</t>
  </si>
  <si>
    <t>4:30:55.6</t>
  </si>
  <si>
    <t>4:33:06.7</t>
  </si>
  <si>
    <t>4:35:17.8</t>
  </si>
  <si>
    <t>4:37:28.9</t>
  </si>
  <si>
    <t>4:39:40.0</t>
  </si>
  <si>
    <t>4:41:51.1</t>
  </si>
  <si>
    <t>4:44:02.2</t>
  </si>
  <si>
    <t>4:46:13.3</t>
  </si>
  <si>
    <t>4:48:24.4</t>
  </si>
  <si>
    <t>4:50:35.5</t>
  </si>
  <si>
    <t>4:52:46.6</t>
  </si>
  <si>
    <t>4:54:57.5</t>
  </si>
  <si>
    <t>4:57:08.8</t>
  </si>
  <si>
    <t>4:59:19.8</t>
  </si>
  <si>
    <t>5:01:30.9</t>
  </si>
  <si>
    <t>5:03:42.0</t>
  </si>
  <si>
    <t>5:05:53.1</t>
  </si>
  <si>
    <t>5:08:04.2</t>
  </si>
  <si>
    <t>5:10:15.3</t>
  </si>
  <si>
    <t>5:12:26.4</t>
  </si>
  <si>
    <t>5:14:37.5</t>
  </si>
  <si>
    <t>5:16:48.6</t>
  </si>
  <si>
    <t>5:18:59.7</t>
  </si>
  <si>
    <t>5:21:10.8</t>
  </si>
  <si>
    <t>5:23:21.9</t>
  </si>
  <si>
    <t>5:25:33.0</t>
  </si>
  <si>
    <t>5:27:44.1</t>
  </si>
  <si>
    <t>5:29:55.2</t>
  </si>
  <si>
    <t>5:32:06.2</t>
  </si>
  <si>
    <t>5:34:17.3</t>
  </si>
  <si>
    <t>5:36:28.4</t>
  </si>
  <si>
    <t>5:38:39.5</t>
  </si>
  <si>
    <t>5:40:50.6</t>
  </si>
  <si>
    <t>3:06:24.7</t>
  </si>
  <si>
    <t>4:00:46.9</t>
  </si>
  <si>
    <t>5:00:19.8</t>
  </si>
  <si>
    <t>6:02:28.0</t>
  </si>
  <si>
    <t>3:09:00.0</t>
  </si>
  <si>
    <t>3:11:35.4</t>
  </si>
  <si>
    <t>3:14:10.7</t>
  </si>
  <si>
    <t>3:16:46.1</t>
  </si>
  <si>
    <t>3:19:21.4</t>
  </si>
  <si>
    <t>3:21:56.7</t>
  </si>
  <si>
    <t>3:24:32.1</t>
  </si>
  <si>
    <t>3:27:07.4</t>
  </si>
  <si>
    <t>3:29:42.8</t>
  </si>
  <si>
    <t>3:32:18.1</t>
  </si>
  <si>
    <t>3:34:53.5</t>
  </si>
  <si>
    <t>3:37:28.8</t>
  </si>
  <si>
    <t>3:40:04.1</t>
  </si>
  <si>
    <t>3:42:39.5</t>
  </si>
  <si>
    <t>3:45:14.8</t>
  </si>
  <si>
    <t>3:47:50.2</t>
  </si>
  <si>
    <t>3:50:25.5</t>
  </si>
  <si>
    <t>3:53:00.9</t>
  </si>
  <si>
    <t>3:55:36.2</t>
  </si>
  <si>
    <t>3:58:11.5</t>
  </si>
  <si>
    <t>6:41:18.1</t>
  </si>
  <si>
    <t>6:43:53.5</t>
  </si>
  <si>
    <t>4:03:22.2</t>
  </si>
  <si>
    <t>4:05:57.6</t>
  </si>
  <si>
    <t>4:08:32.9</t>
  </si>
  <si>
    <t>4:11:08.3</t>
  </si>
  <si>
    <t>4:13:43.6</t>
  </si>
  <si>
    <t>4:16:18.9</t>
  </si>
  <si>
    <t>4:18:54.3</t>
  </si>
  <si>
    <t>4:21:29.6</t>
  </si>
  <si>
    <t>4:24:05.0</t>
  </si>
  <si>
    <t>4:26:40.3</t>
  </si>
  <si>
    <t>4:29:15.7</t>
  </si>
  <si>
    <t>4:31:51.0</t>
  </si>
  <si>
    <t>4:34:26.3</t>
  </si>
  <si>
    <t>4:37:01.7</t>
  </si>
  <si>
    <t>4:39:37.0</t>
  </si>
  <si>
    <t>4:42:12.4</t>
  </si>
  <si>
    <t>4:44:47.7</t>
  </si>
  <si>
    <t>4:47:23.1</t>
  </si>
  <si>
    <t>4:49:58.4</t>
  </si>
  <si>
    <t>4:52:33.7</t>
  </si>
  <si>
    <t>4:55:09.1</t>
  </si>
  <si>
    <t>4:57:44.4</t>
  </si>
  <si>
    <t>5:02:55.1</t>
  </si>
  <si>
    <t>5:05:30.5</t>
  </si>
  <si>
    <t>5:08:05.8</t>
  </si>
  <si>
    <t>5:10:41.1</t>
  </si>
  <si>
    <t>5:13:16.5</t>
  </si>
  <si>
    <t>5:15:51.8</t>
  </si>
  <si>
    <t>5:18:27.2</t>
  </si>
  <si>
    <t>5:21:02.5</t>
  </si>
  <si>
    <t>5:23:37.8</t>
  </si>
  <si>
    <t>5:26:13.2</t>
  </si>
  <si>
    <t>5:28:48.5</t>
  </si>
  <si>
    <t>5:31:23.9</t>
  </si>
  <si>
    <t>5:33:59.2</t>
  </si>
  <si>
    <t>5:36:34.6</t>
  </si>
  <si>
    <t>5:39:09.9</t>
  </si>
  <si>
    <t>5:41:45.2</t>
  </si>
  <si>
    <t>5:44:20.6</t>
  </si>
  <si>
    <t>5:46:559</t>
  </si>
  <si>
    <t>5:49:31.3</t>
  </si>
  <si>
    <t>5:52:06.6</t>
  </si>
  <si>
    <t>5:54:42.0</t>
  </si>
  <si>
    <t>5:57:17.3</t>
  </si>
  <si>
    <t>5:59:52.6</t>
  </si>
  <si>
    <t>6:05:03.3</t>
  </si>
  <si>
    <t>6:07:38.7</t>
  </si>
  <si>
    <t>6:10:14.0</t>
  </si>
  <si>
    <t>6:12:49.4</t>
  </si>
  <si>
    <t>6:15:24.7</t>
  </si>
  <si>
    <t>6:18:00.0</t>
  </si>
  <si>
    <t>6:20:35.4</t>
  </si>
  <si>
    <t>6:23:10.7</t>
  </si>
  <si>
    <t>6:25:46.1</t>
  </si>
  <si>
    <t>6:28:21.4</t>
  </si>
  <si>
    <t>6:30:56.8</t>
  </si>
  <si>
    <t>6:33:32.1</t>
  </si>
  <si>
    <t>6:36:07.4</t>
  </si>
  <si>
    <t>6:38:42.8</t>
  </si>
  <si>
    <t>MILES: 1.00</t>
  </si>
  <si>
    <t>2:43:59.0</t>
  </si>
  <si>
    <t>6:07:03.8</t>
  </si>
  <si>
    <t>6:33:16.9</t>
  </si>
  <si>
    <t>7:14:57.6</t>
  </si>
  <si>
    <t>7:46:01.7</t>
  </si>
  <si>
    <t>Compliments of the Racewalkers of the Silver State Striders and the Pacific Racewalkers Organization</t>
  </si>
  <si>
    <t>Time (1 mile)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</si>
</sst>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[$-409]h:mm:ss\ AM/PM"/>
    <numFmt numFmtId="167" formatCode="[h]:mm:ss;@"/>
    <numFmt numFmtId="168" formatCode="h:mm:ss;@"/>
    <numFmt numFmtId="169" formatCode="0.000"/>
    <numFmt numFmtId="170" formatCode="00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0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/>
    </xf>
    <xf numFmtId="47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47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69" fontId="0" fillId="0" borderId="1" xfId="0" applyNumberForma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47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0" fontId="0" fillId="0" borderId="5" xfId="0" applyNumberFormat="1" applyBorder="1" applyAlignment="1">
      <alignment horizontal="center"/>
    </xf>
    <xf numFmtId="20" fontId="0" fillId="0" borderId="6" xfId="0" applyNumberFormat="1" applyBorder="1" applyAlignment="1">
      <alignment horizontal="center"/>
    </xf>
    <xf numFmtId="20" fontId="0" fillId="0" borderId="7" xfId="0" applyNumberFormat="1" applyBorder="1" applyAlignment="1">
      <alignment horizontal="center"/>
    </xf>
    <xf numFmtId="20" fontId="0" fillId="0" borderId="8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20" fontId="0" fillId="0" borderId="9" xfId="0" applyNumberFormat="1" applyBorder="1" applyAlignment="1">
      <alignment horizontal="center"/>
    </xf>
    <xf numFmtId="47" fontId="0" fillId="0" borderId="10" xfId="0" applyNumberForma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20" fontId="0" fillId="0" borderId="1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tabSelected="1" workbookViewId="0" topLeftCell="A1">
      <selection activeCell="B1" sqref="B1"/>
    </sheetView>
  </sheetViews>
  <sheetFormatPr defaultColWidth="9.140625" defaultRowHeight="12.75"/>
  <cols>
    <col min="1" max="1" width="11.140625" style="1" customWidth="1"/>
    <col min="2" max="2" width="10.7109375" style="15" customWidth="1"/>
    <col min="3" max="3" width="14.140625" style="1" customWidth="1"/>
    <col min="4" max="4" width="13.7109375" style="1" customWidth="1"/>
    <col min="5" max="5" width="13.140625" style="15" customWidth="1"/>
    <col min="6" max="6" width="13.421875" style="1" customWidth="1"/>
    <col min="7" max="7" width="13.421875" style="24" customWidth="1"/>
    <col min="8" max="8" width="15.140625" style="24" customWidth="1"/>
    <col min="9" max="9" width="14.421875" style="24" customWidth="1"/>
    <col min="10" max="10" width="11.28125" style="1" customWidth="1"/>
    <col min="11" max="11" width="9.140625" style="1" customWidth="1"/>
    <col min="12" max="12" width="9.140625" style="19" customWidth="1"/>
    <col min="13" max="13" width="9.140625" style="11" customWidth="1"/>
    <col min="14" max="14" width="9.140625" style="15" customWidth="1"/>
    <col min="15" max="15" width="11.57421875" style="1" customWidth="1"/>
    <col min="16" max="16" width="13.28125" style="0" customWidth="1"/>
    <col min="17" max="17" width="10.140625" style="14" customWidth="1"/>
    <col min="18" max="18" width="13.28125" style="1" customWidth="1"/>
    <col min="20" max="20" width="9.8515625" style="14" customWidth="1"/>
    <col min="21" max="21" width="10.421875" style="15" customWidth="1"/>
    <col min="23" max="23" width="11.140625" style="11" customWidth="1"/>
    <col min="24" max="24" width="10.7109375" style="1" customWidth="1"/>
    <col min="26" max="26" width="10.57421875" style="11" customWidth="1"/>
    <col min="27" max="27" width="11.421875" style="24" customWidth="1"/>
    <col min="29" max="29" width="10.140625" style="11" customWidth="1"/>
    <col min="30" max="30" width="11.00390625" style="24" customWidth="1"/>
    <col min="31" max="31" width="12.57421875" style="0" customWidth="1"/>
    <col min="32" max="32" width="10.00390625" style="14" customWidth="1"/>
    <col min="33" max="33" width="10.7109375" style="24" customWidth="1"/>
    <col min="34" max="34" width="5.140625" style="0" customWidth="1"/>
    <col min="35" max="35" width="10.421875" style="8" customWidth="1"/>
  </cols>
  <sheetData>
    <row r="1" ht="12.75">
      <c r="E1" s="24" t="s">
        <v>319</v>
      </c>
    </row>
    <row r="3" spans="1:35" ht="12.75">
      <c r="A3" s="30" t="s">
        <v>0</v>
      </c>
      <c r="B3" s="31" t="s">
        <v>0</v>
      </c>
      <c r="C3" s="32" t="s">
        <v>320</v>
      </c>
      <c r="D3" s="32" t="s">
        <v>2</v>
      </c>
      <c r="E3" s="31" t="s">
        <v>2</v>
      </c>
      <c r="F3" s="32" t="s">
        <v>2</v>
      </c>
      <c r="G3" s="33" t="s">
        <v>2</v>
      </c>
      <c r="H3" s="32" t="s">
        <v>7</v>
      </c>
      <c r="I3" s="33" t="s">
        <v>2</v>
      </c>
      <c r="J3" s="34" t="s">
        <v>0</v>
      </c>
      <c r="K3" s="1" t="s">
        <v>0</v>
      </c>
      <c r="L3" s="19" t="s">
        <v>0</v>
      </c>
      <c r="N3" s="15" t="s">
        <v>0</v>
      </c>
      <c r="O3" s="1" t="s">
        <v>2</v>
      </c>
      <c r="P3" s="1" t="s">
        <v>2</v>
      </c>
      <c r="Q3" s="11" t="s">
        <v>12</v>
      </c>
      <c r="R3" s="1" t="s">
        <v>2</v>
      </c>
      <c r="S3" s="1" t="s">
        <v>2</v>
      </c>
      <c r="T3" s="11" t="s">
        <v>12</v>
      </c>
      <c r="U3" s="15" t="s">
        <v>2</v>
      </c>
      <c r="V3" s="1" t="s">
        <v>2</v>
      </c>
      <c r="W3" s="11" t="s">
        <v>12</v>
      </c>
      <c r="X3" s="1" t="s">
        <v>2</v>
      </c>
      <c r="Y3" s="1" t="s">
        <v>2</v>
      </c>
      <c r="Z3" s="11" t="s">
        <v>12</v>
      </c>
      <c r="AA3" s="24" t="s">
        <v>2</v>
      </c>
      <c r="AB3" s="1" t="s">
        <v>2</v>
      </c>
      <c r="AC3" s="11" t="s">
        <v>12</v>
      </c>
      <c r="AD3" s="1" t="s">
        <v>2</v>
      </c>
      <c r="AE3" s="1" t="s">
        <v>2</v>
      </c>
      <c r="AF3" s="11" t="s">
        <v>12</v>
      </c>
      <c r="AG3" s="24" t="s">
        <v>2</v>
      </c>
      <c r="AI3" s="8" t="s">
        <v>12</v>
      </c>
    </row>
    <row r="4" spans="1:35" ht="12.75">
      <c r="A4" s="35"/>
      <c r="B4" s="17"/>
      <c r="C4" s="5" t="s">
        <v>8</v>
      </c>
      <c r="D4" s="5" t="s">
        <v>3</v>
      </c>
      <c r="E4" s="17" t="s">
        <v>4</v>
      </c>
      <c r="F4" s="5" t="s">
        <v>5</v>
      </c>
      <c r="G4" s="26" t="s">
        <v>6</v>
      </c>
      <c r="H4" s="5" t="s">
        <v>11</v>
      </c>
      <c r="I4" s="26" t="s">
        <v>9</v>
      </c>
      <c r="J4" s="36"/>
      <c r="M4" s="11" t="s">
        <v>14</v>
      </c>
      <c r="N4" s="15" t="s">
        <v>1</v>
      </c>
      <c r="O4" s="1" t="s">
        <v>8</v>
      </c>
      <c r="P4" s="1" t="s">
        <v>3</v>
      </c>
      <c r="Q4" s="11" t="s">
        <v>14</v>
      </c>
      <c r="R4" s="1" t="s">
        <v>3</v>
      </c>
      <c r="S4" s="1" t="s">
        <v>4</v>
      </c>
      <c r="T4" s="11" t="s">
        <v>14</v>
      </c>
      <c r="U4" s="15" t="s">
        <v>4</v>
      </c>
      <c r="V4" s="1" t="s">
        <v>5</v>
      </c>
      <c r="W4" s="11" t="s">
        <v>14</v>
      </c>
      <c r="X4" s="1" t="s">
        <v>5</v>
      </c>
      <c r="Y4" s="1" t="s">
        <v>6</v>
      </c>
      <c r="Z4" s="11" t="s">
        <v>14</v>
      </c>
      <c r="AA4" s="24" t="s">
        <v>6</v>
      </c>
      <c r="AB4" s="1" t="s">
        <v>11</v>
      </c>
      <c r="AC4" s="11" t="s">
        <v>14</v>
      </c>
      <c r="AD4" s="1" t="s">
        <v>11</v>
      </c>
      <c r="AE4" s="1" t="s">
        <v>9</v>
      </c>
      <c r="AF4" s="11" t="s">
        <v>14</v>
      </c>
      <c r="AG4" s="24" t="s">
        <v>9</v>
      </c>
      <c r="AI4" s="8" t="s">
        <v>13</v>
      </c>
    </row>
    <row r="5" spans="1:35" ht="12.75">
      <c r="A5" s="35" t="s">
        <v>16</v>
      </c>
      <c r="B5" s="17" t="s">
        <v>16</v>
      </c>
      <c r="C5" s="5" t="s">
        <v>16</v>
      </c>
      <c r="D5" s="5" t="s">
        <v>16</v>
      </c>
      <c r="E5" s="17" t="s">
        <v>16</v>
      </c>
      <c r="F5" s="23" t="s">
        <v>64</v>
      </c>
      <c r="G5" s="26" t="s">
        <v>64</v>
      </c>
      <c r="H5" s="26" t="s">
        <v>64</v>
      </c>
      <c r="I5" s="26" t="s">
        <v>64</v>
      </c>
      <c r="J5" s="36" t="s">
        <v>16</v>
      </c>
      <c r="K5" s="1" t="s">
        <v>16</v>
      </c>
      <c r="L5" s="19" t="s">
        <v>20</v>
      </c>
      <c r="N5" s="15" t="s">
        <v>16</v>
      </c>
      <c r="P5" s="1" t="s">
        <v>15</v>
      </c>
      <c r="Q5" s="11"/>
      <c r="R5" s="1" t="s">
        <v>16</v>
      </c>
      <c r="S5" s="1" t="s">
        <v>15</v>
      </c>
      <c r="T5" s="11"/>
      <c r="U5" s="15" t="s">
        <v>16</v>
      </c>
      <c r="V5" s="1" t="s">
        <v>15</v>
      </c>
      <c r="X5" s="11" t="s">
        <v>64</v>
      </c>
      <c r="Y5" s="1" t="s">
        <v>15</v>
      </c>
      <c r="AA5" s="24" t="s">
        <v>64</v>
      </c>
      <c r="AB5" s="1" t="s">
        <v>15</v>
      </c>
      <c r="AD5" s="24" t="s">
        <v>64</v>
      </c>
      <c r="AE5" s="1" t="s">
        <v>15</v>
      </c>
      <c r="AF5" s="11"/>
      <c r="AG5" s="24" t="s">
        <v>15</v>
      </c>
      <c r="AI5" s="8" t="s">
        <v>17</v>
      </c>
    </row>
    <row r="6" spans="1:35" ht="12.75">
      <c r="A6" s="37" t="s">
        <v>22</v>
      </c>
      <c r="B6" s="16" t="s">
        <v>21</v>
      </c>
      <c r="C6" s="3" t="s">
        <v>313</v>
      </c>
      <c r="D6" s="27">
        <f>3/1.609344</f>
        <v>1.8641135767120018</v>
      </c>
      <c r="E6" s="27">
        <f>5/1.609344</f>
        <v>3.1068559611866697</v>
      </c>
      <c r="F6" s="27">
        <f>10/1.609344</f>
        <v>6.2137119223733395</v>
      </c>
      <c r="G6" s="27">
        <f>20/1.609344</f>
        <v>12.427423844746679</v>
      </c>
      <c r="H6" s="27">
        <v>26.21875</v>
      </c>
      <c r="I6" s="27">
        <f>50/1.609344</f>
        <v>31.068559611866696</v>
      </c>
      <c r="J6" s="38" t="s">
        <v>22</v>
      </c>
      <c r="K6" s="3" t="s">
        <v>22</v>
      </c>
      <c r="L6" s="20"/>
      <c r="M6" s="22"/>
      <c r="N6" s="16" t="s">
        <v>21</v>
      </c>
      <c r="O6" s="3" t="s">
        <v>19</v>
      </c>
      <c r="P6" s="4">
        <f>3/1.609344</f>
        <v>1.8641135767120018</v>
      </c>
      <c r="Q6" s="12"/>
      <c r="R6" s="3">
        <f>3/1.609344</f>
        <v>1.8641135767120018</v>
      </c>
      <c r="S6" s="4">
        <f>5/1.609344</f>
        <v>3.1068559611866697</v>
      </c>
      <c r="T6" s="12"/>
      <c r="U6" s="16">
        <f>5/1.609344</f>
        <v>3.1068559611866697</v>
      </c>
      <c r="V6" s="4">
        <f>10/1.609344</f>
        <v>6.2137119223733395</v>
      </c>
      <c r="W6" s="22"/>
      <c r="X6" s="3">
        <f>10/1.609344</f>
        <v>6.2137119223733395</v>
      </c>
      <c r="Y6" s="4">
        <f>20/1.609344</f>
        <v>12.427423844746679</v>
      </c>
      <c r="Z6" s="22"/>
      <c r="AA6" s="25">
        <f>20/1.609344</f>
        <v>12.427423844746679</v>
      </c>
      <c r="AB6" s="4">
        <v>26.21875</v>
      </c>
      <c r="AC6" s="22"/>
      <c r="AD6" s="3">
        <v>26.21875</v>
      </c>
      <c r="AE6" s="4">
        <f>50/1.609344</f>
        <v>31.068559611866696</v>
      </c>
      <c r="AF6" s="12"/>
      <c r="AG6" s="25">
        <f>50/1.609344</f>
        <v>31.068559611866696</v>
      </c>
      <c r="AH6" s="4" t="s">
        <v>10</v>
      </c>
      <c r="AI6" s="8" t="s">
        <v>18</v>
      </c>
    </row>
    <row r="7" spans="1:36" ht="12.75">
      <c r="A7" s="39">
        <v>0.25</v>
      </c>
      <c r="B7" s="10">
        <v>0.0025891203703703705</v>
      </c>
      <c r="C7" s="7">
        <v>0.25</v>
      </c>
      <c r="D7" s="10">
        <v>0.007767361111111111</v>
      </c>
      <c r="E7" s="10">
        <v>0.012945601851851852</v>
      </c>
      <c r="F7" s="10">
        <v>0.025890046296296296</v>
      </c>
      <c r="G7" s="26" t="s">
        <v>51</v>
      </c>
      <c r="H7" s="26" t="s">
        <v>143</v>
      </c>
      <c r="I7" s="26" t="s">
        <v>228</v>
      </c>
      <c r="J7" s="40">
        <v>0.25</v>
      </c>
      <c r="K7" s="7">
        <v>0.25</v>
      </c>
      <c r="L7" s="21">
        <f aca="true" t="shared" si="0" ref="L7:L38">AI7/1.609344</f>
        <v>3.7282271534240037</v>
      </c>
      <c r="M7" s="23">
        <f aca="true" t="shared" si="1" ref="M7:M12">60*(L7-3)</f>
        <v>43.69362920544022</v>
      </c>
      <c r="N7" s="10">
        <v>0.0025891203703703705</v>
      </c>
      <c r="O7" s="7">
        <v>0.25</v>
      </c>
      <c r="P7" s="6">
        <f aca="true" t="shared" si="2" ref="P7:P38">(3/1.609344)*AI7</f>
        <v>11.18468146027201</v>
      </c>
      <c r="Q7" s="13">
        <f aca="true" t="shared" si="3" ref="Q7:Q12">(P7-11)*60</f>
        <v>11.08088761632061</v>
      </c>
      <c r="R7" s="10">
        <v>0.007767361111111111</v>
      </c>
      <c r="S7" s="9">
        <f aca="true" t="shared" si="4" ref="S7:S38">AI7*5/1.609344</f>
        <v>18.64113576712002</v>
      </c>
      <c r="T7" s="13">
        <f>60*(S7-18)</f>
        <v>38.46814602720116</v>
      </c>
      <c r="U7" s="10">
        <v>0.012945601851851852</v>
      </c>
      <c r="V7" s="6">
        <f aca="true" t="shared" si="5" ref="V7:V38">AI7*10/1.609344</f>
        <v>37.28227153424004</v>
      </c>
      <c r="W7" s="23">
        <f>60*(V7-37)</f>
        <v>16.936292054402315</v>
      </c>
      <c r="X7" s="10">
        <v>0.025890046296296296</v>
      </c>
      <c r="Y7" s="6">
        <f aca="true" t="shared" si="6" ref="Y7:Y38">AI7*20/1.609344</f>
        <v>74.56454306848008</v>
      </c>
      <c r="Z7" s="23">
        <f aca="true" t="shared" si="7" ref="Z7:Z38">60*(AI7*20/1.609344-TRUNC(AI7*20/1.609344))</f>
        <v>33.87258410880463</v>
      </c>
      <c r="AA7" s="26" t="s">
        <v>51</v>
      </c>
      <c r="AB7" s="6">
        <f aca="true" t="shared" si="8" ref="AB7:AB38">AI7*26.21875</f>
        <v>157.3125</v>
      </c>
      <c r="AC7" s="23">
        <f aca="true" t="shared" si="9" ref="AC7:AC38">60*(AI7*26.21875-TRUNC(AI7*26.21875))</f>
        <v>18.75</v>
      </c>
      <c r="AD7" s="26" t="s">
        <v>143</v>
      </c>
      <c r="AE7" s="6">
        <f aca="true" t="shared" si="10" ref="AE7:AE38">AI7*50/1.609344</f>
        <v>186.41135767120016</v>
      </c>
      <c r="AF7" s="13">
        <f aca="true" t="shared" si="11" ref="AF7:AF38">60*(AI7*50/1.609344-TRUNC(AI7*50/1.609344))</f>
        <v>24.681460272009872</v>
      </c>
      <c r="AG7" s="26" t="s">
        <v>228</v>
      </c>
      <c r="AH7" s="6"/>
      <c r="AI7" s="8">
        <f aca="true" t="shared" si="12" ref="AI7:AI18">6+AJ7</f>
        <v>6</v>
      </c>
      <c r="AJ7" s="8">
        <v>0</v>
      </c>
    </row>
    <row r="8" spans="1:36" ht="12.75">
      <c r="A8" s="39">
        <v>0.2534722222222222</v>
      </c>
      <c r="B8" s="10">
        <v>0.002625</v>
      </c>
      <c r="C8" s="7">
        <v>0.2534722222222222</v>
      </c>
      <c r="D8" s="10">
        <v>0.007875</v>
      </c>
      <c r="E8" s="10">
        <v>0.013125</v>
      </c>
      <c r="F8" s="10">
        <v>0.02625</v>
      </c>
      <c r="G8" s="26" t="s">
        <v>53</v>
      </c>
      <c r="H8" s="26" t="s">
        <v>144</v>
      </c>
      <c r="I8" s="26" t="s">
        <v>232</v>
      </c>
      <c r="J8" s="40">
        <v>0.2534722222222222</v>
      </c>
      <c r="K8" s="7">
        <v>0.2534722222222222</v>
      </c>
      <c r="L8" s="21">
        <f t="shared" si="0"/>
        <v>3.7800080861104477</v>
      </c>
      <c r="M8" s="23">
        <f t="shared" si="1"/>
        <v>46.80048516662686</v>
      </c>
      <c r="N8" s="10">
        <v>0.002625</v>
      </c>
      <c r="O8" s="7">
        <v>0.2534722222222222</v>
      </c>
      <c r="P8" s="6">
        <f t="shared" si="2"/>
        <v>11.340024258331344</v>
      </c>
      <c r="Q8" s="13">
        <f t="shared" si="3"/>
        <v>20.401455499880612</v>
      </c>
      <c r="R8" s="10">
        <v>0.007875</v>
      </c>
      <c r="S8" s="9">
        <f t="shared" si="4"/>
        <v>18.900040430552238</v>
      </c>
      <c r="T8" s="13">
        <f>60*(S8-18)</f>
        <v>54.00242583313428</v>
      </c>
      <c r="U8" s="10">
        <v>0.013125</v>
      </c>
      <c r="V8" s="6">
        <f t="shared" si="5"/>
        <v>37.800080861104476</v>
      </c>
      <c r="W8" s="23">
        <f>60*(V8-37)</f>
        <v>48.004851666268564</v>
      </c>
      <c r="X8" s="10">
        <v>0.02625</v>
      </c>
      <c r="Y8" s="6">
        <f t="shared" si="6"/>
        <v>75.60016172220895</v>
      </c>
      <c r="Z8" s="23">
        <f t="shared" si="7"/>
        <v>36.00970333253713</v>
      </c>
      <c r="AA8" s="26" t="s">
        <v>53</v>
      </c>
      <c r="AB8" s="6">
        <f t="shared" si="8"/>
        <v>159.49739583333331</v>
      </c>
      <c r="AC8" s="23">
        <f t="shared" si="9"/>
        <v>29.843749999998863</v>
      </c>
      <c r="AD8" s="26" t="s">
        <v>144</v>
      </c>
      <c r="AE8" s="6">
        <f t="shared" si="10"/>
        <v>189.00040430552238</v>
      </c>
      <c r="AF8" s="13">
        <f t="shared" si="11"/>
        <v>0.024258331342821293</v>
      </c>
      <c r="AG8" s="26" t="s">
        <v>232</v>
      </c>
      <c r="AH8" s="6"/>
      <c r="AI8" s="8">
        <f t="shared" si="12"/>
        <v>6.083333333333333</v>
      </c>
      <c r="AJ8" s="8">
        <f>5/60</f>
        <v>0.08333333333333333</v>
      </c>
    </row>
    <row r="9" spans="1:36" ht="12.75">
      <c r="A9" s="39">
        <v>0.2569444444444445</v>
      </c>
      <c r="B9" s="10">
        <v>0.0026608796296296294</v>
      </c>
      <c r="C9" s="7">
        <v>0.2569444444444445</v>
      </c>
      <c r="D9" s="10">
        <v>0.007982638888888888</v>
      </c>
      <c r="E9" s="10">
        <v>0.013304398148148149</v>
      </c>
      <c r="F9" s="10">
        <v>0.0266099537037037</v>
      </c>
      <c r="G9" s="26" t="s">
        <v>55</v>
      </c>
      <c r="H9" s="26" t="s">
        <v>145</v>
      </c>
      <c r="I9" s="26" t="s">
        <v>233</v>
      </c>
      <c r="J9" s="40">
        <v>0.2569444444444445</v>
      </c>
      <c r="K9" s="7">
        <v>0.2569444444444445</v>
      </c>
      <c r="L9" s="21">
        <f t="shared" si="0"/>
        <v>3.8317890187968926</v>
      </c>
      <c r="M9" s="23">
        <f t="shared" si="1"/>
        <v>49.90734112781355</v>
      </c>
      <c r="N9" s="10">
        <v>0.0026608796296296294</v>
      </c>
      <c r="O9" s="7">
        <v>0.2569444444444445</v>
      </c>
      <c r="P9" s="6">
        <f t="shared" si="2"/>
        <v>11.495367056390679</v>
      </c>
      <c r="Q9" s="13">
        <f t="shared" si="3"/>
        <v>29.72202338344072</v>
      </c>
      <c r="R9" s="10">
        <v>0.007982638888888888</v>
      </c>
      <c r="S9" s="9">
        <f t="shared" si="4"/>
        <v>19.158945093984464</v>
      </c>
      <c r="T9" s="13">
        <f>60*(S9-19)</f>
        <v>9.536705639067833</v>
      </c>
      <c r="U9" s="10">
        <v>0.013304398148148149</v>
      </c>
      <c r="V9" s="6">
        <f t="shared" si="5"/>
        <v>38.31789018796893</v>
      </c>
      <c r="W9" s="23">
        <f>60*(V9-38)</f>
        <v>19.073411278135666</v>
      </c>
      <c r="X9" s="10">
        <v>0.0266099537037037</v>
      </c>
      <c r="Y9" s="6">
        <f t="shared" si="6"/>
        <v>76.63578037593786</v>
      </c>
      <c r="Z9" s="23">
        <f t="shared" si="7"/>
        <v>38.14682255627133</v>
      </c>
      <c r="AA9" s="26" t="s">
        <v>55</v>
      </c>
      <c r="AB9" s="6">
        <f t="shared" si="8"/>
        <v>161.68229166666669</v>
      </c>
      <c r="AC9" s="23">
        <f t="shared" si="9"/>
        <v>40.93750000000114</v>
      </c>
      <c r="AD9" s="26" t="s">
        <v>145</v>
      </c>
      <c r="AE9" s="6">
        <f t="shared" si="10"/>
        <v>191.58945093984465</v>
      </c>
      <c r="AF9" s="13">
        <f t="shared" si="11"/>
        <v>35.36705639067918</v>
      </c>
      <c r="AG9" s="26" t="s">
        <v>233</v>
      </c>
      <c r="AH9" s="6"/>
      <c r="AI9" s="8">
        <f t="shared" si="12"/>
        <v>6.166666666666667</v>
      </c>
      <c r="AJ9" s="8">
        <f>1/6</f>
        <v>0.16666666666666666</v>
      </c>
    </row>
    <row r="10" spans="1:36" ht="12.75">
      <c r="A10" s="39">
        <v>0.2604166666666667</v>
      </c>
      <c r="B10" s="10">
        <v>0.0026967592592592594</v>
      </c>
      <c r="C10" s="7">
        <v>0.2604166666666667</v>
      </c>
      <c r="D10" s="10">
        <v>0.008090277777777778</v>
      </c>
      <c r="E10" s="10">
        <v>0.013484953703703702</v>
      </c>
      <c r="F10" s="10">
        <v>0.02696875</v>
      </c>
      <c r="G10" s="26" t="s">
        <v>57</v>
      </c>
      <c r="H10" s="26" t="s">
        <v>146</v>
      </c>
      <c r="I10" s="26" t="s">
        <v>234</v>
      </c>
      <c r="J10" s="40">
        <v>0.2604166666666667</v>
      </c>
      <c r="K10" s="7">
        <v>0.2604166666666667</v>
      </c>
      <c r="L10" s="21">
        <f t="shared" si="0"/>
        <v>3.883569951483337</v>
      </c>
      <c r="M10" s="23">
        <f t="shared" si="1"/>
        <v>53.01419708900022</v>
      </c>
      <c r="N10" s="10">
        <v>0.0026967592592592594</v>
      </c>
      <c r="O10" s="7">
        <v>0.2604166666666667</v>
      </c>
      <c r="P10" s="6">
        <f t="shared" si="2"/>
        <v>11.650709854450012</v>
      </c>
      <c r="Q10" s="13">
        <f t="shared" si="3"/>
        <v>39.042591267000724</v>
      </c>
      <c r="R10" s="10">
        <v>0.008090277777777778</v>
      </c>
      <c r="S10" s="9">
        <f t="shared" si="4"/>
        <v>19.417849757416686</v>
      </c>
      <c r="T10" s="13">
        <f>60*(S10-19)</f>
        <v>25.07098544500117</v>
      </c>
      <c r="U10" s="10">
        <v>0.013484953703703702</v>
      </c>
      <c r="V10" s="6">
        <f t="shared" si="5"/>
        <v>38.83569951483337</v>
      </c>
      <c r="W10" s="23">
        <f>60*(V10-38)</f>
        <v>50.14197089000234</v>
      </c>
      <c r="X10" s="10">
        <v>0.02696875</v>
      </c>
      <c r="Y10" s="6">
        <f t="shared" si="6"/>
        <v>77.67139902966674</v>
      </c>
      <c r="Z10" s="23">
        <f t="shared" si="7"/>
        <v>40.28394178000468</v>
      </c>
      <c r="AA10" s="26" t="s">
        <v>57</v>
      </c>
      <c r="AB10" s="6">
        <f t="shared" si="8"/>
        <v>163.8671875</v>
      </c>
      <c r="AC10" s="23">
        <f t="shared" si="9"/>
        <v>52.03125</v>
      </c>
      <c r="AD10" s="26" t="s">
        <v>146</v>
      </c>
      <c r="AE10" s="6">
        <f t="shared" si="10"/>
        <v>194.17849757416684</v>
      </c>
      <c r="AF10" s="13">
        <f t="shared" si="11"/>
        <v>10.709854450010425</v>
      </c>
      <c r="AG10" s="26" t="s">
        <v>234</v>
      </c>
      <c r="AH10" s="6"/>
      <c r="AI10" s="8">
        <f t="shared" si="12"/>
        <v>6.25</v>
      </c>
      <c r="AJ10" s="8">
        <f>15/60</f>
        <v>0.25</v>
      </c>
    </row>
    <row r="11" spans="1:36" ht="12.75">
      <c r="A11" s="39">
        <v>0.2638888888888889</v>
      </c>
      <c r="B11" s="10">
        <v>0.002732638888888889</v>
      </c>
      <c r="C11" s="7">
        <v>0.2638888888888889</v>
      </c>
      <c r="D11" s="10">
        <v>0.008199074074074074</v>
      </c>
      <c r="E11" s="10">
        <v>0.013664351851851851</v>
      </c>
      <c r="F11" s="10">
        <v>0.027328703703703702</v>
      </c>
      <c r="G11" s="26" t="s">
        <v>59</v>
      </c>
      <c r="H11" s="26" t="s">
        <v>147</v>
      </c>
      <c r="I11" s="26" t="s">
        <v>235</v>
      </c>
      <c r="J11" s="40">
        <v>0.2638888888888889</v>
      </c>
      <c r="K11" s="7">
        <v>0.2638888888888889</v>
      </c>
      <c r="L11" s="21">
        <f t="shared" si="0"/>
        <v>3.9353508841697815</v>
      </c>
      <c r="M11" s="23">
        <f t="shared" si="1"/>
        <v>56.12105305018689</v>
      </c>
      <c r="N11" s="10">
        <v>0.002732638888888889</v>
      </c>
      <c r="O11" s="7">
        <v>0.2638888888888889</v>
      </c>
      <c r="P11" s="6">
        <f t="shared" si="2"/>
        <v>11.806052652509344</v>
      </c>
      <c r="Q11" s="13">
        <f t="shared" si="3"/>
        <v>48.36315915056062</v>
      </c>
      <c r="R11" s="10">
        <v>0.008199074074074074</v>
      </c>
      <c r="S11" s="9">
        <f t="shared" si="4"/>
        <v>19.676754420848905</v>
      </c>
      <c r="T11" s="13">
        <f>60*(S11-19)</f>
        <v>40.605265250934295</v>
      </c>
      <c r="U11" s="10">
        <v>0.013664351851851851</v>
      </c>
      <c r="V11" s="6">
        <f t="shared" si="5"/>
        <v>39.35350884169781</v>
      </c>
      <c r="W11" s="23">
        <f>60*(V11-39)</f>
        <v>21.21053050186859</v>
      </c>
      <c r="X11" s="10">
        <v>0.027328703703703702</v>
      </c>
      <c r="Y11" s="6">
        <f t="shared" si="6"/>
        <v>78.70701768339562</v>
      </c>
      <c r="Z11" s="23">
        <f t="shared" si="7"/>
        <v>42.42106100373718</v>
      </c>
      <c r="AA11" s="26" t="s">
        <v>59</v>
      </c>
      <c r="AB11" s="6">
        <f t="shared" si="8"/>
        <v>166.05208333333331</v>
      </c>
      <c r="AC11" s="23">
        <f t="shared" si="9"/>
        <v>3.124999999998863</v>
      </c>
      <c r="AD11" s="26" t="s">
        <v>147</v>
      </c>
      <c r="AE11" s="6">
        <f t="shared" si="10"/>
        <v>196.76754420848906</v>
      </c>
      <c r="AF11" s="13">
        <f t="shared" si="11"/>
        <v>46.052652509343375</v>
      </c>
      <c r="AG11" s="26" t="s">
        <v>235</v>
      </c>
      <c r="AH11" s="6"/>
      <c r="AI11" s="8">
        <f t="shared" si="12"/>
        <v>6.333333333333333</v>
      </c>
      <c r="AJ11" s="8">
        <f>20/60</f>
        <v>0.3333333333333333</v>
      </c>
    </row>
    <row r="12" spans="1:36" ht="12.75">
      <c r="A12" s="41">
        <v>0.2673611111111111</v>
      </c>
      <c r="B12" s="29">
        <v>0.0027685185185185187</v>
      </c>
      <c r="C12" s="28">
        <v>0.2673611111111111</v>
      </c>
      <c r="D12" s="29">
        <v>0.008306712962962962</v>
      </c>
      <c r="E12" s="29">
        <v>0.01384375</v>
      </c>
      <c r="F12" s="29">
        <v>0.02768865740740741</v>
      </c>
      <c r="G12" s="25" t="s">
        <v>61</v>
      </c>
      <c r="H12" s="25" t="s">
        <v>148</v>
      </c>
      <c r="I12" s="25" t="s">
        <v>236</v>
      </c>
      <c r="J12" s="42">
        <v>0.2673611111111111</v>
      </c>
      <c r="K12" s="7">
        <v>0.2673611111111111</v>
      </c>
      <c r="L12" s="21">
        <f t="shared" si="0"/>
        <v>3.9871318168562264</v>
      </c>
      <c r="M12" s="23">
        <f t="shared" si="1"/>
        <v>59.22790901137358</v>
      </c>
      <c r="N12" s="10">
        <v>0.0027685185185185187</v>
      </c>
      <c r="O12" s="7">
        <v>0.2673611111111111</v>
      </c>
      <c r="P12" s="6">
        <f t="shared" si="2"/>
        <v>11.961395450568679</v>
      </c>
      <c r="Q12" s="13">
        <f t="shared" si="3"/>
        <v>57.68372703412073</v>
      </c>
      <c r="R12" s="10">
        <v>0.008306712962962962</v>
      </c>
      <c r="S12" s="9">
        <f t="shared" si="4"/>
        <v>19.93565908428113</v>
      </c>
      <c r="T12" s="13">
        <f>60*(S12-19)</f>
        <v>56.139545056867846</v>
      </c>
      <c r="U12" s="10">
        <v>0.01384375</v>
      </c>
      <c r="V12" s="6">
        <f t="shared" si="5"/>
        <v>39.87131816856226</v>
      </c>
      <c r="W12" s="23">
        <f>60*(V12-39)</f>
        <v>52.27909011373569</v>
      </c>
      <c r="X12" s="10">
        <v>0.02768865740740741</v>
      </c>
      <c r="Y12" s="6">
        <f t="shared" si="6"/>
        <v>79.74263633712452</v>
      </c>
      <c r="Z12" s="23">
        <f t="shared" si="7"/>
        <v>44.55818022747138</v>
      </c>
      <c r="AA12" s="26" t="s">
        <v>61</v>
      </c>
      <c r="AB12" s="6">
        <f t="shared" si="8"/>
        <v>168.23697916666669</v>
      </c>
      <c r="AC12" s="23">
        <f t="shared" si="9"/>
        <v>14.218750000001137</v>
      </c>
      <c r="AD12" s="26" t="s">
        <v>148</v>
      </c>
      <c r="AE12" s="6">
        <f t="shared" si="10"/>
        <v>199.35659084281133</v>
      </c>
      <c r="AF12" s="13">
        <f t="shared" si="11"/>
        <v>21.395450568679735</v>
      </c>
      <c r="AG12" s="26" t="s">
        <v>236</v>
      </c>
      <c r="AH12" s="6"/>
      <c r="AI12" s="8">
        <f t="shared" si="12"/>
        <v>6.416666666666667</v>
      </c>
      <c r="AJ12" s="8">
        <f>25/60</f>
        <v>0.4166666666666667</v>
      </c>
    </row>
    <row r="13" spans="1:36" ht="12.75">
      <c r="A13" s="39">
        <v>0.2708333333333333</v>
      </c>
      <c r="B13" s="10">
        <v>0.002804398148148148</v>
      </c>
      <c r="C13" s="7">
        <v>0.2708333333333333</v>
      </c>
      <c r="D13" s="10">
        <v>0.008414351851851852</v>
      </c>
      <c r="E13" s="10">
        <v>0.014024305555555555</v>
      </c>
      <c r="F13" s="10">
        <v>0.028047453703703706</v>
      </c>
      <c r="G13" s="26" t="s">
        <v>63</v>
      </c>
      <c r="H13" s="26" t="s">
        <v>149</v>
      </c>
      <c r="I13" s="26" t="s">
        <v>237</v>
      </c>
      <c r="J13" s="40">
        <v>0.2708333333333333</v>
      </c>
      <c r="K13" s="7">
        <v>0.2708333333333333</v>
      </c>
      <c r="L13" s="21">
        <f t="shared" si="0"/>
        <v>4.03891274954267</v>
      </c>
      <c r="M13" s="23">
        <f aca="true" t="shared" si="13" ref="M13:M31">60*(L13-4)</f>
        <v>2.334764972560226</v>
      </c>
      <c r="N13" s="10">
        <v>0.002804398148148148</v>
      </c>
      <c r="O13" s="7">
        <v>0.2708333333333333</v>
      </c>
      <c r="P13" s="6">
        <f t="shared" si="2"/>
        <v>12.116738248628012</v>
      </c>
      <c r="Q13" s="13">
        <f aca="true" t="shared" si="14" ref="Q13:Q18">(P13-12)*60</f>
        <v>7.004294917680731</v>
      </c>
      <c r="R13" s="10">
        <v>0.008414351851851852</v>
      </c>
      <c r="S13" s="9">
        <f t="shared" si="4"/>
        <v>20.194563747713353</v>
      </c>
      <c r="T13" s="13">
        <f>60*(S13-20)</f>
        <v>11.673824862801183</v>
      </c>
      <c r="U13" s="10">
        <v>0.014024305555555555</v>
      </c>
      <c r="V13" s="6">
        <f t="shared" si="5"/>
        <v>40.389127495426706</v>
      </c>
      <c r="W13" s="23">
        <f>60*(V13-40)</f>
        <v>23.347649725602366</v>
      </c>
      <c r="X13" s="10">
        <v>0.028047453703703706</v>
      </c>
      <c r="Y13" s="6">
        <f t="shared" si="6"/>
        <v>80.77825499085341</v>
      </c>
      <c r="Z13" s="23">
        <f t="shared" si="7"/>
        <v>46.69529945120473</v>
      </c>
      <c r="AA13" s="26" t="s">
        <v>63</v>
      </c>
      <c r="AB13" s="6">
        <f t="shared" si="8"/>
        <v>170.421875</v>
      </c>
      <c r="AC13" s="23">
        <f t="shared" si="9"/>
        <v>25.3125</v>
      </c>
      <c r="AD13" s="26" t="s">
        <v>149</v>
      </c>
      <c r="AE13" s="6">
        <f t="shared" si="10"/>
        <v>201.94563747713352</v>
      </c>
      <c r="AF13" s="13">
        <f t="shared" si="11"/>
        <v>56.73824862801098</v>
      </c>
      <c r="AG13" s="26" t="s">
        <v>237</v>
      </c>
      <c r="AH13" s="6"/>
      <c r="AI13" s="8">
        <f t="shared" si="12"/>
        <v>6.5</v>
      </c>
      <c r="AJ13" s="8">
        <f>3/6</f>
        <v>0.5</v>
      </c>
    </row>
    <row r="14" spans="1:36" ht="12.75">
      <c r="A14" s="39">
        <v>0.2743055555555555</v>
      </c>
      <c r="B14" s="10">
        <v>0.002840277777777778</v>
      </c>
      <c r="C14" s="7">
        <v>0.2743055555555555</v>
      </c>
      <c r="D14" s="10">
        <v>0.008521990740740741</v>
      </c>
      <c r="E14" s="10">
        <v>0.014203703703703704</v>
      </c>
      <c r="F14" s="10">
        <v>0.02840740740740741</v>
      </c>
      <c r="G14" s="26" t="s">
        <v>65</v>
      </c>
      <c r="H14" s="26" t="s">
        <v>150</v>
      </c>
      <c r="I14" s="26" t="s">
        <v>238</v>
      </c>
      <c r="J14" s="40">
        <v>0.2743055555555555</v>
      </c>
      <c r="K14" s="7">
        <v>0.2743055555555555</v>
      </c>
      <c r="L14" s="21">
        <f t="shared" si="0"/>
        <v>4.090693682229115</v>
      </c>
      <c r="M14" s="23">
        <f t="shared" si="13"/>
        <v>5.4416209337468935</v>
      </c>
      <c r="N14" s="10">
        <v>0.002840277777777778</v>
      </c>
      <c r="O14" s="7">
        <v>0.2743055555555555</v>
      </c>
      <c r="P14" s="6">
        <f t="shared" si="2"/>
        <v>12.272081046687346</v>
      </c>
      <c r="Q14" s="13">
        <f t="shared" si="14"/>
        <v>16.324862801240734</v>
      </c>
      <c r="R14" s="10">
        <v>0.008521990740740741</v>
      </c>
      <c r="S14" s="9">
        <f t="shared" si="4"/>
        <v>20.453468411145575</v>
      </c>
      <c r="T14" s="13">
        <f>60*(S14-20)</f>
        <v>27.20810466873452</v>
      </c>
      <c r="U14" s="10">
        <v>0.014203703703703704</v>
      </c>
      <c r="V14" s="6">
        <f t="shared" si="5"/>
        <v>40.90693682229115</v>
      </c>
      <c r="W14" s="23">
        <f>60*(V14-40)</f>
        <v>54.41620933746904</v>
      </c>
      <c r="X14" s="10">
        <v>0.02840740740740741</v>
      </c>
      <c r="Y14" s="6">
        <f t="shared" si="6"/>
        <v>81.8138736445823</v>
      </c>
      <c r="Z14" s="23">
        <f t="shared" si="7"/>
        <v>48.83241867493808</v>
      </c>
      <c r="AA14" s="26" t="s">
        <v>65</v>
      </c>
      <c r="AB14" s="6">
        <f t="shared" si="8"/>
        <v>172.60677083333331</v>
      </c>
      <c r="AC14" s="23">
        <f t="shared" si="9"/>
        <v>36.40624999999886</v>
      </c>
      <c r="AD14" s="26" t="s">
        <v>150</v>
      </c>
      <c r="AE14" s="6">
        <f t="shared" si="10"/>
        <v>204.53468411145573</v>
      </c>
      <c r="AF14" s="13">
        <f t="shared" si="11"/>
        <v>32.08104668734393</v>
      </c>
      <c r="AG14" s="26" t="s">
        <v>238</v>
      </c>
      <c r="AH14" s="6"/>
      <c r="AI14" s="8">
        <f t="shared" si="12"/>
        <v>6.583333333333333</v>
      </c>
      <c r="AJ14" s="8">
        <f>35/60</f>
        <v>0.5833333333333334</v>
      </c>
    </row>
    <row r="15" spans="1:36" ht="12.75">
      <c r="A15" s="39">
        <v>0.2777777777777778</v>
      </c>
      <c r="B15" s="10">
        <v>0.002876157407407407</v>
      </c>
      <c r="C15" s="7">
        <v>0.2777777777777778</v>
      </c>
      <c r="D15" s="10">
        <v>0.00862962962962963</v>
      </c>
      <c r="E15" s="10">
        <v>0.01438310185185185</v>
      </c>
      <c r="F15" s="10">
        <v>0.028767361111111108</v>
      </c>
      <c r="G15" s="26" t="s">
        <v>66</v>
      </c>
      <c r="H15" s="26" t="s">
        <v>151</v>
      </c>
      <c r="I15" s="26" t="s">
        <v>239</v>
      </c>
      <c r="J15" s="40">
        <v>0.2777777777777778</v>
      </c>
      <c r="K15" s="7">
        <v>0.2777777777777778</v>
      </c>
      <c r="L15" s="21">
        <f t="shared" si="0"/>
        <v>4.142474614915559</v>
      </c>
      <c r="M15" s="23">
        <f t="shared" si="13"/>
        <v>8.548476894933561</v>
      </c>
      <c r="N15" s="10">
        <v>0.002876157407407407</v>
      </c>
      <c r="O15" s="7">
        <v>0.2777777777777778</v>
      </c>
      <c r="P15" s="6">
        <f t="shared" si="2"/>
        <v>12.427423844746679</v>
      </c>
      <c r="Q15" s="13">
        <f t="shared" si="14"/>
        <v>25.645430684800736</v>
      </c>
      <c r="R15" s="10">
        <v>0.00862962962962963</v>
      </c>
      <c r="S15" s="9">
        <f t="shared" si="4"/>
        <v>20.712373074577798</v>
      </c>
      <c r="T15" s="13">
        <f>60*(S15-20)</f>
        <v>42.74238447466786</v>
      </c>
      <c r="U15" s="10">
        <v>0.01438310185185185</v>
      </c>
      <c r="V15" s="6">
        <f t="shared" si="5"/>
        <v>41.424746149155595</v>
      </c>
      <c r="W15" s="23">
        <f>60*(V15-41)</f>
        <v>25.484768949335717</v>
      </c>
      <c r="X15" s="10">
        <v>0.028767361111111108</v>
      </c>
      <c r="Y15" s="6">
        <f t="shared" si="6"/>
        <v>82.84949229831119</v>
      </c>
      <c r="Z15" s="23">
        <f t="shared" si="7"/>
        <v>50.96953789867143</v>
      </c>
      <c r="AA15" s="26" t="s">
        <v>66</v>
      </c>
      <c r="AB15" s="6">
        <f t="shared" si="8"/>
        <v>174.79166666666669</v>
      </c>
      <c r="AC15" s="23">
        <f t="shared" si="9"/>
        <v>47.50000000000114</v>
      </c>
      <c r="AD15" s="26" t="s">
        <v>151</v>
      </c>
      <c r="AE15" s="6">
        <f t="shared" si="10"/>
        <v>207.123730745778</v>
      </c>
      <c r="AF15" s="13">
        <f t="shared" si="11"/>
        <v>7.423844746680288</v>
      </c>
      <c r="AG15" s="26" t="s">
        <v>239</v>
      </c>
      <c r="AH15" s="6"/>
      <c r="AI15" s="8">
        <f t="shared" si="12"/>
        <v>6.666666666666667</v>
      </c>
      <c r="AJ15" s="8">
        <f>4/6</f>
        <v>0.6666666666666666</v>
      </c>
    </row>
    <row r="16" spans="1:36" ht="12.75">
      <c r="A16" s="39">
        <v>0.28125</v>
      </c>
      <c r="B16" s="10">
        <v>0.0029131944444444444</v>
      </c>
      <c r="C16" s="7">
        <v>0.28125</v>
      </c>
      <c r="D16" s="10">
        <v>0.008738425925925926</v>
      </c>
      <c r="E16" s="10">
        <v>0.014563657407407407</v>
      </c>
      <c r="F16" s="10">
        <v>0.029127314814814814</v>
      </c>
      <c r="G16" s="26" t="s">
        <v>67</v>
      </c>
      <c r="H16" s="26" t="s">
        <v>152</v>
      </c>
      <c r="I16" s="26" t="s">
        <v>240</v>
      </c>
      <c r="J16" s="40">
        <v>0.28125</v>
      </c>
      <c r="K16" s="7">
        <v>0.28125</v>
      </c>
      <c r="L16" s="21">
        <f t="shared" si="0"/>
        <v>4.194255547602004</v>
      </c>
      <c r="M16" s="23">
        <f t="shared" si="13"/>
        <v>11.655332856120229</v>
      </c>
      <c r="N16" s="10">
        <v>0.0029131944444444444</v>
      </c>
      <c r="O16" s="7">
        <v>0.28125</v>
      </c>
      <c r="P16" s="6">
        <f t="shared" si="2"/>
        <v>12.582766642806012</v>
      </c>
      <c r="Q16" s="13">
        <f t="shared" si="14"/>
        <v>34.96599856836074</v>
      </c>
      <c r="R16" s="10">
        <v>0.008738425925925926</v>
      </c>
      <c r="S16" s="9">
        <f t="shared" si="4"/>
        <v>20.97127773801002</v>
      </c>
      <c r="T16" s="13">
        <f>60*(S16-20)</f>
        <v>58.276664280601196</v>
      </c>
      <c r="U16" s="10">
        <v>0.014563657407407407</v>
      </c>
      <c r="V16" s="6">
        <f t="shared" si="5"/>
        <v>41.94255547602004</v>
      </c>
      <c r="W16" s="23">
        <f>60*(V16-41)</f>
        <v>56.55332856120239</v>
      </c>
      <c r="X16" s="10">
        <v>0.029127314814814814</v>
      </c>
      <c r="Y16" s="6">
        <f t="shared" si="6"/>
        <v>83.88511095204008</v>
      </c>
      <c r="Z16" s="23">
        <f t="shared" si="7"/>
        <v>53.10665712240478</v>
      </c>
      <c r="AA16" s="26" t="s">
        <v>67</v>
      </c>
      <c r="AB16" s="6">
        <f t="shared" si="8"/>
        <v>176.9765625</v>
      </c>
      <c r="AC16" s="23">
        <f t="shared" si="9"/>
        <v>58.59375</v>
      </c>
      <c r="AD16" s="26" t="s">
        <v>152</v>
      </c>
      <c r="AE16" s="6">
        <f t="shared" si="10"/>
        <v>209.7127773801002</v>
      </c>
      <c r="AF16" s="13">
        <f t="shared" si="11"/>
        <v>42.76664280601153</v>
      </c>
      <c r="AG16" s="26" t="s">
        <v>240</v>
      </c>
      <c r="AH16" s="6"/>
      <c r="AI16" s="8">
        <f t="shared" si="12"/>
        <v>6.75</v>
      </c>
      <c r="AJ16" s="8">
        <f>45/60</f>
        <v>0.75</v>
      </c>
    </row>
    <row r="17" spans="1:36" ht="12.75">
      <c r="A17" s="39">
        <v>0.2847222222222222</v>
      </c>
      <c r="B17" s="10">
        <v>0.0029490740740740744</v>
      </c>
      <c r="C17" s="7">
        <v>0.2847222222222222</v>
      </c>
      <c r="D17" s="10">
        <v>0.008846064814814815</v>
      </c>
      <c r="E17" s="10">
        <v>0.014743055555555556</v>
      </c>
      <c r="F17" s="10">
        <v>0.029486111111111112</v>
      </c>
      <c r="G17" s="26" t="s">
        <v>68</v>
      </c>
      <c r="H17" s="26" t="s">
        <v>153</v>
      </c>
      <c r="I17" s="26" t="s">
        <v>241</v>
      </c>
      <c r="J17" s="40">
        <v>0.2847222222222222</v>
      </c>
      <c r="K17" s="7">
        <v>0.2847222222222222</v>
      </c>
      <c r="L17" s="21">
        <f t="shared" si="0"/>
        <v>4.246036480288448</v>
      </c>
      <c r="M17" s="23">
        <f t="shared" si="13"/>
        <v>14.762188817306896</v>
      </c>
      <c r="N17" s="10">
        <v>0.0029490740740740744</v>
      </c>
      <c r="O17" s="7">
        <v>0.2847222222222222</v>
      </c>
      <c r="P17" s="6">
        <f t="shared" si="2"/>
        <v>12.738109440865346</v>
      </c>
      <c r="Q17" s="13">
        <f t="shared" si="14"/>
        <v>44.28656645192074</v>
      </c>
      <c r="R17" s="10">
        <v>0.008846064814814815</v>
      </c>
      <c r="S17" s="9">
        <f t="shared" si="4"/>
        <v>21.230182401442242</v>
      </c>
      <c r="T17" s="13">
        <f>60*(S17-21)</f>
        <v>13.810944086534533</v>
      </c>
      <c r="U17" s="10">
        <v>0.014743055555555556</v>
      </c>
      <c r="V17" s="6">
        <f t="shared" si="5"/>
        <v>42.460364802884484</v>
      </c>
      <c r="W17" s="23">
        <f>60*(V17-42)</f>
        <v>27.621888173069067</v>
      </c>
      <c r="X17" s="10">
        <v>0.029486111111111112</v>
      </c>
      <c r="Y17" s="6">
        <f t="shared" si="6"/>
        <v>84.92072960576897</v>
      </c>
      <c r="Z17" s="23">
        <f t="shared" si="7"/>
        <v>55.243776346138134</v>
      </c>
      <c r="AA17" s="26" t="s">
        <v>68</v>
      </c>
      <c r="AB17" s="6">
        <f t="shared" si="8"/>
        <v>179.16145833333331</v>
      </c>
      <c r="AC17" s="23">
        <f t="shared" si="9"/>
        <v>9.687499999998863</v>
      </c>
      <c r="AD17" s="26" t="s">
        <v>153</v>
      </c>
      <c r="AE17" s="6">
        <f t="shared" si="10"/>
        <v>212.3018240144224</v>
      </c>
      <c r="AF17" s="13">
        <f t="shared" si="11"/>
        <v>18.10944086534448</v>
      </c>
      <c r="AG17" s="26" t="s">
        <v>241</v>
      </c>
      <c r="AH17" s="6"/>
      <c r="AI17" s="8">
        <f t="shared" si="12"/>
        <v>6.833333333333333</v>
      </c>
      <c r="AJ17" s="8">
        <f>50/60</f>
        <v>0.8333333333333334</v>
      </c>
    </row>
    <row r="18" spans="1:36" ht="12.75">
      <c r="A18" s="41">
        <v>0.2881944444444445</v>
      </c>
      <c r="B18" s="29">
        <v>0.002984953703703703</v>
      </c>
      <c r="C18" s="28">
        <v>0.2881944444444445</v>
      </c>
      <c r="D18" s="29">
        <v>0.008953703703703703</v>
      </c>
      <c r="E18" s="29">
        <v>0.014922453703703703</v>
      </c>
      <c r="F18" s="29">
        <v>0.029846064814814815</v>
      </c>
      <c r="G18" s="25" t="s">
        <v>69</v>
      </c>
      <c r="H18" s="25" t="s">
        <v>154</v>
      </c>
      <c r="I18" s="25" t="s">
        <v>242</v>
      </c>
      <c r="J18" s="42">
        <v>0.2881944444444445</v>
      </c>
      <c r="K18" s="7">
        <v>0.2881944444444445</v>
      </c>
      <c r="L18" s="21">
        <f t="shared" si="0"/>
        <v>4.297817412974894</v>
      </c>
      <c r="M18" s="23">
        <f t="shared" si="13"/>
        <v>17.869044778493617</v>
      </c>
      <c r="N18" s="10">
        <v>0.002984953703703703</v>
      </c>
      <c r="O18" s="7">
        <v>0.2881944444444445</v>
      </c>
      <c r="P18" s="6">
        <f t="shared" si="2"/>
        <v>12.893452238924679</v>
      </c>
      <c r="Q18" s="13">
        <f t="shared" si="14"/>
        <v>53.607134335480744</v>
      </c>
      <c r="R18" s="10">
        <v>0.008953703703703703</v>
      </c>
      <c r="S18" s="9">
        <f t="shared" si="4"/>
        <v>21.489087064874468</v>
      </c>
      <c r="T18" s="13">
        <f>60*(S18-21)</f>
        <v>29.345223892468084</v>
      </c>
      <c r="U18" s="10">
        <v>0.014922453703703703</v>
      </c>
      <c r="V18" s="6">
        <f t="shared" si="5"/>
        <v>42.978174129748936</v>
      </c>
      <c r="W18" s="23">
        <f>60*(V18-42)</f>
        <v>58.69044778493617</v>
      </c>
      <c r="X18" s="10">
        <v>0.029846064814814815</v>
      </c>
      <c r="Y18" s="6">
        <f t="shared" si="6"/>
        <v>85.95634825949787</v>
      </c>
      <c r="Z18" s="23">
        <f t="shared" si="7"/>
        <v>57.38089556987234</v>
      </c>
      <c r="AA18" s="26" t="s">
        <v>69</v>
      </c>
      <c r="AB18" s="6">
        <f t="shared" si="8"/>
        <v>181.34635416666669</v>
      </c>
      <c r="AC18" s="23">
        <f t="shared" si="9"/>
        <v>20.781250000001137</v>
      </c>
      <c r="AD18" s="26" t="s">
        <v>154</v>
      </c>
      <c r="AE18" s="6">
        <f t="shared" si="10"/>
        <v>214.89087064874468</v>
      </c>
      <c r="AF18" s="13">
        <f t="shared" si="11"/>
        <v>53.45223892468084</v>
      </c>
      <c r="AG18" s="26" t="s">
        <v>242</v>
      </c>
      <c r="AH18" s="6"/>
      <c r="AI18" s="8">
        <f t="shared" si="12"/>
        <v>6.916666666666667</v>
      </c>
      <c r="AJ18" s="8">
        <f>55/60</f>
        <v>0.9166666666666666</v>
      </c>
    </row>
    <row r="19" spans="1:36" ht="12.75">
      <c r="A19" s="39">
        <v>0.2916666666666667</v>
      </c>
      <c r="B19" s="10">
        <v>0.0030208333333333333</v>
      </c>
      <c r="C19" s="7">
        <v>0.2916666666666667</v>
      </c>
      <c r="D19" s="10">
        <v>0.009061342592592593</v>
      </c>
      <c r="E19" s="10">
        <v>0.01510300925925926</v>
      </c>
      <c r="F19" s="10">
        <v>0.03020601851851852</v>
      </c>
      <c r="G19" s="26" t="s">
        <v>70</v>
      </c>
      <c r="H19" s="26" t="s">
        <v>155</v>
      </c>
      <c r="I19" s="26" t="s">
        <v>243</v>
      </c>
      <c r="J19" s="40">
        <v>0.2916666666666667</v>
      </c>
      <c r="K19" s="7">
        <v>0.2916666666666667</v>
      </c>
      <c r="L19" s="21">
        <f t="shared" si="0"/>
        <v>4.349598345661337</v>
      </c>
      <c r="M19" s="23">
        <f t="shared" si="13"/>
        <v>20.97590073968023</v>
      </c>
      <c r="N19" s="10">
        <v>0.0030208333333333333</v>
      </c>
      <c r="O19" s="7">
        <v>0.2916666666666667</v>
      </c>
      <c r="P19" s="6">
        <f t="shared" si="2"/>
        <v>13.048795036984012</v>
      </c>
      <c r="Q19" s="13">
        <f aca="true" t="shared" si="15" ref="Q19:Q25">(P19-13)*60</f>
        <v>2.9277022190407465</v>
      </c>
      <c r="R19" s="10">
        <v>0.009061342592592593</v>
      </c>
      <c r="S19" s="9">
        <f t="shared" si="4"/>
        <v>21.747991728306687</v>
      </c>
      <c r="T19" s="13">
        <f>60*(S19-21)</f>
        <v>44.87950369840121</v>
      </c>
      <c r="U19" s="10">
        <v>0.01510300925925926</v>
      </c>
      <c r="V19" s="6">
        <f t="shared" si="5"/>
        <v>43.495983456613374</v>
      </c>
      <c r="W19" s="23">
        <f>60*(V19-43)</f>
        <v>29.759007396802417</v>
      </c>
      <c r="X19" s="10">
        <v>0.03020601851851852</v>
      </c>
      <c r="Y19" s="6">
        <f t="shared" si="6"/>
        <v>86.99196691322675</v>
      </c>
      <c r="Z19" s="23">
        <f t="shared" si="7"/>
        <v>59.518014793604834</v>
      </c>
      <c r="AA19" s="26" t="s">
        <v>70</v>
      </c>
      <c r="AB19" s="6">
        <f t="shared" si="8"/>
        <v>183.53125</v>
      </c>
      <c r="AC19" s="23">
        <f t="shared" si="9"/>
        <v>31.875</v>
      </c>
      <c r="AD19" s="26" t="s">
        <v>155</v>
      </c>
      <c r="AE19" s="6">
        <f t="shared" si="10"/>
        <v>217.47991728306687</v>
      </c>
      <c r="AF19" s="13">
        <f t="shared" si="11"/>
        <v>28.795036984012086</v>
      </c>
      <c r="AG19" s="26" t="s">
        <v>243</v>
      </c>
      <c r="AH19" s="6"/>
      <c r="AI19" s="8">
        <f aca="true" t="shared" si="16" ref="AI19:AI30">7+AJ19</f>
        <v>7</v>
      </c>
      <c r="AJ19" s="8">
        <v>0</v>
      </c>
    </row>
    <row r="20" spans="1:36" ht="12.75">
      <c r="A20" s="39">
        <v>0.2951388888888889</v>
      </c>
      <c r="B20" s="10">
        <v>0.003056712962962963</v>
      </c>
      <c r="C20" s="7">
        <v>0.2951388888888889</v>
      </c>
      <c r="D20" s="10">
        <v>0.009168981481481481</v>
      </c>
      <c r="E20" s="10">
        <v>0.01528240740740741</v>
      </c>
      <c r="F20" s="10">
        <v>0.03056481481481482</v>
      </c>
      <c r="G20" s="26" t="s">
        <v>71</v>
      </c>
      <c r="H20" s="26" t="s">
        <v>156</v>
      </c>
      <c r="I20" s="26" t="s">
        <v>244</v>
      </c>
      <c r="J20" s="40">
        <v>0.2951388888888889</v>
      </c>
      <c r="K20" s="7">
        <v>0.2951388888888889</v>
      </c>
      <c r="L20" s="21">
        <f t="shared" si="0"/>
        <v>4.401379278347782</v>
      </c>
      <c r="M20" s="23">
        <f t="shared" si="13"/>
        <v>24.0827567008669</v>
      </c>
      <c r="N20" s="10">
        <v>0.003056712962962963</v>
      </c>
      <c r="O20" s="7">
        <v>0.2951388888888889</v>
      </c>
      <c r="P20" s="6">
        <f t="shared" si="2"/>
        <v>13.204137835043346</v>
      </c>
      <c r="Q20" s="13">
        <f t="shared" si="15"/>
        <v>12.248270102600749</v>
      </c>
      <c r="R20" s="10">
        <v>0.009168981481481481</v>
      </c>
      <c r="S20" s="9">
        <f t="shared" si="4"/>
        <v>22.00689639173891</v>
      </c>
      <c r="T20" s="13">
        <f>60*(S20-22)</f>
        <v>0.41378350433454614</v>
      </c>
      <c r="U20" s="10">
        <v>0.01528240740740741</v>
      </c>
      <c r="V20" s="6">
        <f t="shared" si="5"/>
        <v>44.01379278347782</v>
      </c>
      <c r="W20" s="23">
        <f>60*(V20-44)</f>
        <v>0.8275670086690923</v>
      </c>
      <c r="X20" s="10">
        <v>0.03056481481481482</v>
      </c>
      <c r="Y20" s="6">
        <f t="shared" si="6"/>
        <v>88.02758556695564</v>
      </c>
      <c r="Z20" s="23">
        <f t="shared" si="7"/>
        <v>1.6551340173381845</v>
      </c>
      <c r="AA20" s="26" t="s">
        <v>71</v>
      </c>
      <c r="AB20" s="6">
        <f t="shared" si="8"/>
        <v>185.71614583333331</v>
      </c>
      <c r="AC20" s="23">
        <f t="shared" si="9"/>
        <v>42.96874999999886</v>
      </c>
      <c r="AD20" s="26" t="s">
        <v>156</v>
      </c>
      <c r="AE20" s="6">
        <f t="shared" si="10"/>
        <v>220.06896391738908</v>
      </c>
      <c r="AF20" s="13">
        <f t="shared" si="11"/>
        <v>4.137835043345035</v>
      </c>
      <c r="AG20" s="26" t="s">
        <v>244</v>
      </c>
      <c r="AH20" s="6"/>
      <c r="AI20" s="8">
        <f t="shared" si="16"/>
        <v>7.083333333333333</v>
      </c>
      <c r="AJ20" s="8">
        <f>5/60</f>
        <v>0.08333333333333333</v>
      </c>
    </row>
    <row r="21" spans="1:36" ht="12.75">
      <c r="A21" s="39">
        <v>0.2986111111111111</v>
      </c>
      <c r="B21" s="10">
        <v>0.0030925925925925925</v>
      </c>
      <c r="C21" s="7">
        <v>0.2986111111111111</v>
      </c>
      <c r="D21" s="10">
        <v>0.009277777777777777</v>
      </c>
      <c r="E21" s="10">
        <v>0.015461805555555555</v>
      </c>
      <c r="F21" s="10">
        <v>0.03092476851851852</v>
      </c>
      <c r="G21" s="26" t="s">
        <v>72</v>
      </c>
      <c r="H21" s="26" t="s">
        <v>157</v>
      </c>
      <c r="I21" s="26" t="s">
        <v>245</v>
      </c>
      <c r="J21" s="40">
        <v>0.2986111111111111</v>
      </c>
      <c r="K21" s="7">
        <v>0.2986111111111111</v>
      </c>
      <c r="L21" s="21">
        <f t="shared" si="0"/>
        <v>4.453160211034227</v>
      </c>
      <c r="M21" s="23">
        <f t="shared" si="13"/>
        <v>27.18961266205362</v>
      </c>
      <c r="N21" s="10">
        <v>0.0030925925925925925</v>
      </c>
      <c r="O21" s="7">
        <v>0.2986111111111111</v>
      </c>
      <c r="P21" s="6">
        <f t="shared" si="2"/>
        <v>13.359480633102681</v>
      </c>
      <c r="Q21" s="13">
        <f t="shared" si="15"/>
        <v>21.568837986160858</v>
      </c>
      <c r="R21" s="10">
        <v>0.009277777777777777</v>
      </c>
      <c r="S21" s="9">
        <f t="shared" si="4"/>
        <v>22.265801055171135</v>
      </c>
      <c r="T21" s="13">
        <f>60*(S21-22)</f>
        <v>15.948063310268097</v>
      </c>
      <c r="U21" s="10">
        <v>0.015461805555555555</v>
      </c>
      <c r="V21" s="6">
        <f t="shared" si="5"/>
        <v>44.53160211034227</v>
      </c>
      <c r="W21" s="23">
        <f>60*(V21-44)</f>
        <v>31.896126620536194</v>
      </c>
      <c r="X21" s="10">
        <v>0.03092476851851852</v>
      </c>
      <c r="Y21" s="6">
        <f t="shared" si="6"/>
        <v>89.06320422068454</v>
      </c>
      <c r="Z21" s="23">
        <f t="shared" si="7"/>
        <v>3.7922532410723875</v>
      </c>
      <c r="AA21" s="26" t="s">
        <v>72</v>
      </c>
      <c r="AB21" s="6">
        <f t="shared" si="8"/>
        <v>187.90104166666669</v>
      </c>
      <c r="AC21" s="23">
        <f t="shared" si="9"/>
        <v>54.06250000000114</v>
      </c>
      <c r="AD21" s="26" t="s">
        <v>157</v>
      </c>
      <c r="AE21" s="6">
        <f t="shared" si="10"/>
        <v>222.65801055171136</v>
      </c>
      <c r="AF21" s="13">
        <f t="shared" si="11"/>
        <v>39.480633102681395</v>
      </c>
      <c r="AG21" s="26" t="s">
        <v>245</v>
      </c>
      <c r="AH21" s="6"/>
      <c r="AI21" s="8">
        <f t="shared" si="16"/>
        <v>7.166666666666667</v>
      </c>
      <c r="AJ21" s="8">
        <f>1/6</f>
        <v>0.16666666666666666</v>
      </c>
    </row>
    <row r="22" spans="1:36" ht="12.75">
      <c r="A22" s="39">
        <v>0.3020833333333333</v>
      </c>
      <c r="B22" s="10">
        <v>0.003128472222222222</v>
      </c>
      <c r="C22" s="7">
        <v>0.3020833333333333</v>
      </c>
      <c r="D22" s="10">
        <v>0.009385416666666667</v>
      </c>
      <c r="E22" s="10">
        <v>0.01564236111111111</v>
      </c>
      <c r="F22" s="10">
        <v>0.03128472222222222</v>
      </c>
      <c r="G22" s="26" t="s">
        <v>73</v>
      </c>
      <c r="H22" s="26" t="s">
        <v>158</v>
      </c>
      <c r="I22" s="26" t="s">
        <v>246</v>
      </c>
      <c r="J22" s="40">
        <v>0.3020833333333333</v>
      </c>
      <c r="K22" s="7">
        <v>0.3020833333333333</v>
      </c>
      <c r="L22" s="21">
        <f t="shared" si="0"/>
        <v>4.504941143720671</v>
      </c>
      <c r="M22" s="23">
        <f t="shared" si="13"/>
        <v>30.296468623240234</v>
      </c>
      <c r="N22" s="10">
        <v>0.003128472222222222</v>
      </c>
      <c r="O22" s="7">
        <v>0.3020833333333333</v>
      </c>
      <c r="P22" s="6">
        <f t="shared" si="2"/>
        <v>13.514823431162013</v>
      </c>
      <c r="Q22" s="13">
        <f t="shared" si="15"/>
        <v>30.889405869720754</v>
      </c>
      <c r="R22" s="10">
        <v>0.009385416666666667</v>
      </c>
      <c r="S22" s="9">
        <f t="shared" si="4"/>
        <v>22.524705718603354</v>
      </c>
      <c r="T22" s="13">
        <f>60*(S22-22)</f>
        <v>31.48234311620122</v>
      </c>
      <c r="U22" s="10">
        <v>0.01564236111111111</v>
      </c>
      <c r="V22" s="6">
        <f t="shared" si="5"/>
        <v>45.04941143720671</v>
      </c>
      <c r="W22" s="23">
        <f>60*(V22-45)</f>
        <v>2.9646862324024426</v>
      </c>
      <c r="X22" s="10">
        <v>0.03128472222222222</v>
      </c>
      <c r="Y22" s="6">
        <f t="shared" si="6"/>
        <v>90.09882287441341</v>
      </c>
      <c r="Z22" s="23">
        <f t="shared" si="7"/>
        <v>5.929372464804885</v>
      </c>
      <c r="AA22" s="26" t="s">
        <v>73</v>
      </c>
      <c r="AB22" s="6">
        <f t="shared" si="8"/>
        <v>190.0859375</v>
      </c>
      <c r="AC22" s="23">
        <f t="shared" si="9"/>
        <v>5.15625</v>
      </c>
      <c r="AD22" s="26" t="s">
        <v>158</v>
      </c>
      <c r="AE22" s="6">
        <f t="shared" si="10"/>
        <v>225.24705718603354</v>
      </c>
      <c r="AF22" s="13">
        <f t="shared" si="11"/>
        <v>14.823431162012639</v>
      </c>
      <c r="AG22" s="26" t="s">
        <v>246</v>
      </c>
      <c r="AH22" s="6"/>
      <c r="AI22" s="8">
        <f t="shared" si="16"/>
        <v>7.25</v>
      </c>
      <c r="AJ22" s="8">
        <f>15/60</f>
        <v>0.25</v>
      </c>
    </row>
    <row r="23" spans="1:36" ht="12.75">
      <c r="A23" s="39">
        <v>0.3055555555555555</v>
      </c>
      <c r="B23" s="10">
        <v>0.003164351851851852</v>
      </c>
      <c r="C23" s="7">
        <v>0.3055555555555555</v>
      </c>
      <c r="D23" s="10">
        <v>0.009493055555555555</v>
      </c>
      <c r="E23" s="10">
        <v>0.01582175925925926</v>
      </c>
      <c r="F23" s="10">
        <v>0.03164351851851852</v>
      </c>
      <c r="G23" s="26" t="s">
        <v>74</v>
      </c>
      <c r="H23" s="26" t="s">
        <v>159</v>
      </c>
      <c r="I23" s="26" t="s">
        <v>247</v>
      </c>
      <c r="J23" s="40">
        <v>0.3055555555555555</v>
      </c>
      <c r="K23" s="7">
        <v>0.3055555555555555</v>
      </c>
      <c r="L23" s="21">
        <f t="shared" si="0"/>
        <v>4.556722076407115</v>
      </c>
      <c r="M23" s="23">
        <f t="shared" si="13"/>
        <v>33.4033245844269</v>
      </c>
      <c r="N23" s="10">
        <v>0.003164351851851852</v>
      </c>
      <c r="O23" s="7">
        <v>0.3055555555555555</v>
      </c>
      <c r="P23" s="6">
        <f t="shared" si="2"/>
        <v>13.670166229221346</v>
      </c>
      <c r="Q23" s="13">
        <f t="shared" si="15"/>
        <v>40.20997375328076</v>
      </c>
      <c r="R23" s="10">
        <v>0.009493055555555555</v>
      </c>
      <c r="S23" s="9">
        <f t="shared" si="4"/>
        <v>22.783610382035576</v>
      </c>
      <c r="T23" s="13">
        <f>60*(S23-22)</f>
        <v>47.01662292213456</v>
      </c>
      <c r="U23" s="10">
        <v>0.01582175925925926</v>
      </c>
      <c r="V23" s="6">
        <f t="shared" si="5"/>
        <v>45.56722076407115</v>
      </c>
      <c r="W23" s="23">
        <f>60*(V23-45)</f>
        <v>34.03324584426912</v>
      </c>
      <c r="X23" s="10">
        <v>0.03164351851851852</v>
      </c>
      <c r="Y23" s="6">
        <f t="shared" si="6"/>
        <v>91.1344415281423</v>
      </c>
      <c r="Z23" s="23">
        <f t="shared" si="7"/>
        <v>8.066491688538235</v>
      </c>
      <c r="AA23" s="26" t="s">
        <v>74</v>
      </c>
      <c r="AB23" s="6">
        <f t="shared" si="8"/>
        <v>192.27083333333331</v>
      </c>
      <c r="AC23" s="23">
        <f t="shared" si="9"/>
        <v>16.249999999998863</v>
      </c>
      <c r="AD23" s="26" t="s">
        <v>159</v>
      </c>
      <c r="AE23" s="6">
        <f t="shared" si="10"/>
        <v>227.83610382035576</v>
      </c>
      <c r="AF23" s="13">
        <f t="shared" si="11"/>
        <v>50.16622922134559</v>
      </c>
      <c r="AG23" s="26" t="s">
        <v>247</v>
      </c>
      <c r="AH23" s="6"/>
      <c r="AI23" s="8">
        <f t="shared" si="16"/>
        <v>7.333333333333333</v>
      </c>
      <c r="AJ23" s="8">
        <f>20/60</f>
        <v>0.3333333333333333</v>
      </c>
    </row>
    <row r="24" spans="1:36" ht="12.75">
      <c r="A24" s="41">
        <v>0.3090277777777778</v>
      </c>
      <c r="B24" s="29">
        <v>0.0032002314814814814</v>
      </c>
      <c r="C24" s="28">
        <v>0.3090277777777778</v>
      </c>
      <c r="D24" s="29">
        <v>0.009600694444444445</v>
      </c>
      <c r="E24" s="29">
        <v>0.016002314814814813</v>
      </c>
      <c r="F24" s="29">
        <v>0.032003472222222225</v>
      </c>
      <c r="G24" s="25" t="s">
        <v>75</v>
      </c>
      <c r="H24" s="25" t="s">
        <v>160</v>
      </c>
      <c r="I24" s="25" t="s">
        <v>248</v>
      </c>
      <c r="J24" s="42">
        <v>0.3090277777777778</v>
      </c>
      <c r="K24" s="7">
        <v>0.3090277777777778</v>
      </c>
      <c r="L24" s="21">
        <f t="shared" si="0"/>
        <v>4.60850300909356</v>
      </c>
      <c r="M24" s="23">
        <f t="shared" si="13"/>
        <v>36.51018054561362</v>
      </c>
      <c r="N24" s="10">
        <v>0.0032002314814814814</v>
      </c>
      <c r="O24" s="7">
        <v>0.3090277777777778</v>
      </c>
      <c r="P24" s="6">
        <f t="shared" si="2"/>
        <v>13.825509027280681</v>
      </c>
      <c r="Q24" s="13">
        <f t="shared" si="15"/>
        <v>49.530541636840866</v>
      </c>
      <c r="R24" s="10">
        <v>0.009600694444444445</v>
      </c>
      <c r="S24" s="9">
        <f t="shared" si="4"/>
        <v>23.042515045467802</v>
      </c>
      <c r="T24" s="13">
        <f>60*(S24-23)</f>
        <v>2.5509027280681096</v>
      </c>
      <c r="U24" s="10">
        <v>0.016002314814814813</v>
      </c>
      <c r="V24" s="6">
        <f t="shared" si="5"/>
        <v>46.085030090935604</v>
      </c>
      <c r="W24" s="23">
        <f>60*(V24-46)</f>
        <v>5.101805456136219</v>
      </c>
      <c r="X24" s="10">
        <v>0.032003472222222225</v>
      </c>
      <c r="Y24" s="6">
        <f t="shared" si="6"/>
        <v>92.17006018187121</v>
      </c>
      <c r="Z24" s="23">
        <f t="shared" si="7"/>
        <v>10.203610912272438</v>
      </c>
      <c r="AA24" s="26" t="s">
        <v>75</v>
      </c>
      <c r="AB24" s="6">
        <f t="shared" si="8"/>
        <v>194.45572916666669</v>
      </c>
      <c r="AC24" s="23">
        <f t="shared" si="9"/>
        <v>27.343750000001137</v>
      </c>
      <c r="AD24" s="26" t="s">
        <v>160</v>
      </c>
      <c r="AE24" s="6">
        <f t="shared" si="10"/>
        <v>230.42515045467803</v>
      </c>
      <c r="AF24" s="13">
        <f t="shared" si="11"/>
        <v>25.50902728068195</v>
      </c>
      <c r="AG24" s="26" t="s">
        <v>248</v>
      </c>
      <c r="AH24" s="6"/>
      <c r="AI24" s="8">
        <f t="shared" si="16"/>
        <v>7.416666666666667</v>
      </c>
      <c r="AJ24" s="8">
        <f>25/60</f>
        <v>0.4166666666666667</v>
      </c>
    </row>
    <row r="25" spans="1:36" ht="12.75">
      <c r="A25" s="39">
        <v>0.3125</v>
      </c>
      <c r="B25" s="10">
        <v>0.0032361111111111115</v>
      </c>
      <c r="C25" s="7">
        <v>0.3125</v>
      </c>
      <c r="D25" s="10">
        <v>0.00970949074074074</v>
      </c>
      <c r="E25" s="10">
        <v>0.016181712962962964</v>
      </c>
      <c r="F25" s="10">
        <v>0.03236342592592593</v>
      </c>
      <c r="G25" s="26" t="s">
        <v>76</v>
      </c>
      <c r="H25" s="26" t="s">
        <v>161</v>
      </c>
      <c r="I25" s="26" t="s">
        <v>249</v>
      </c>
      <c r="J25" s="40">
        <v>0.3125</v>
      </c>
      <c r="K25" s="7">
        <v>0.3125</v>
      </c>
      <c r="L25" s="21">
        <f t="shared" si="0"/>
        <v>4.660283941780005</v>
      </c>
      <c r="M25" s="23">
        <f t="shared" si="13"/>
        <v>39.61703650680029</v>
      </c>
      <c r="N25" s="10">
        <v>0.0032361111111111115</v>
      </c>
      <c r="O25" s="7">
        <v>0.3125</v>
      </c>
      <c r="P25" s="6">
        <f t="shared" si="2"/>
        <v>13.980851825340014</v>
      </c>
      <c r="Q25" s="13">
        <f t="shared" si="15"/>
        <v>58.85110952040087</v>
      </c>
      <c r="R25" s="10">
        <v>0.00970949074074074</v>
      </c>
      <c r="S25" s="9">
        <f t="shared" si="4"/>
        <v>23.30141970890002</v>
      </c>
      <c r="T25" s="13">
        <f>60*(S25-23)</f>
        <v>18.085182534001234</v>
      </c>
      <c r="U25" s="10">
        <v>0.016181712962962964</v>
      </c>
      <c r="V25" s="6">
        <f t="shared" si="5"/>
        <v>46.60283941780004</v>
      </c>
      <c r="W25" s="23">
        <f>60*(V25-46)</f>
        <v>36.17036506800247</v>
      </c>
      <c r="X25" s="10">
        <v>0.03236342592592593</v>
      </c>
      <c r="Y25" s="6">
        <f t="shared" si="6"/>
        <v>93.20567883560008</v>
      </c>
      <c r="Z25" s="23">
        <f t="shared" si="7"/>
        <v>12.340730136004936</v>
      </c>
      <c r="AA25" s="26" t="s">
        <v>76</v>
      </c>
      <c r="AB25" s="6">
        <f t="shared" si="8"/>
        <v>196.640625</v>
      </c>
      <c r="AC25" s="23">
        <f t="shared" si="9"/>
        <v>38.4375</v>
      </c>
      <c r="AD25" s="26" t="s">
        <v>161</v>
      </c>
      <c r="AE25" s="6">
        <f t="shared" si="10"/>
        <v>233.01419708900022</v>
      </c>
      <c r="AF25" s="13">
        <f t="shared" si="11"/>
        <v>0.8518253400131925</v>
      </c>
      <c r="AG25" s="26" t="s">
        <v>249</v>
      </c>
      <c r="AH25" s="6"/>
      <c r="AI25" s="8">
        <f t="shared" si="16"/>
        <v>7.5</v>
      </c>
      <c r="AJ25" s="8">
        <f>3/6</f>
        <v>0.5</v>
      </c>
    </row>
    <row r="26" spans="1:36" ht="12.75">
      <c r="A26" s="39">
        <v>0.3159722222222222</v>
      </c>
      <c r="B26" s="10">
        <v>0.0032719907407407407</v>
      </c>
      <c r="C26" s="7">
        <v>0.3159722222222222</v>
      </c>
      <c r="D26" s="10">
        <v>0.009817129629629629</v>
      </c>
      <c r="E26" s="10">
        <v>0.01636111111111111</v>
      </c>
      <c r="F26" s="10">
        <v>0.03272222222222222</v>
      </c>
      <c r="G26" s="26" t="s">
        <v>77</v>
      </c>
      <c r="H26" s="26" t="s">
        <v>162</v>
      </c>
      <c r="I26" s="26" t="s">
        <v>250</v>
      </c>
      <c r="J26" s="40">
        <v>0.3159722222222222</v>
      </c>
      <c r="K26" s="7">
        <v>0.3159722222222222</v>
      </c>
      <c r="L26" s="21">
        <f t="shared" si="0"/>
        <v>4.712064874466448</v>
      </c>
      <c r="M26" s="23">
        <f t="shared" si="13"/>
        <v>42.7238924679869</v>
      </c>
      <c r="N26" s="10">
        <v>0.0032719907407407407</v>
      </c>
      <c r="O26" s="7">
        <v>0.3159722222222222</v>
      </c>
      <c r="P26" s="6">
        <f t="shared" si="2"/>
        <v>14.136194623399346</v>
      </c>
      <c r="Q26" s="13">
        <f aca="true" t="shared" si="17" ref="Q26:Q31">(P26-14)*60</f>
        <v>8.171677403960764</v>
      </c>
      <c r="R26" s="10">
        <v>0.009817129629629629</v>
      </c>
      <c r="S26" s="9">
        <f t="shared" si="4"/>
        <v>23.560324372332243</v>
      </c>
      <c r="T26" s="13">
        <f>60*(S26-23)</f>
        <v>33.61946233993457</v>
      </c>
      <c r="U26" s="10">
        <v>0.01636111111111111</v>
      </c>
      <c r="V26" s="6">
        <f t="shared" si="5"/>
        <v>47.120648744664486</v>
      </c>
      <c r="W26" s="23">
        <f>60*(V26-47)</f>
        <v>7.238924679869143</v>
      </c>
      <c r="X26" s="10">
        <v>0.03272222222222222</v>
      </c>
      <c r="Y26" s="6">
        <f t="shared" si="6"/>
        <v>94.24129748932897</v>
      </c>
      <c r="Z26" s="23">
        <f t="shared" si="7"/>
        <v>14.477849359738286</v>
      </c>
      <c r="AA26" s="26" t="s">
        <v>77</v>
      </c>
      <c r="AB26" s="6">
        <f t="shared" si="8"/>
        <v>198.82552083333331</v>
      </c>
      <c r="AC26" s="23">
        <f t="shared" si="9"/>
        <v>49.53124999999886</v>
      </c>
      <c r="AD26" s="26" t="s">
        <v>162</v>
      </c>
      <c r="AE26" s="6">
        <f t="shared" si="10"/>
        <v>235.60324372332244</v>
      </c>
      <c r="AF26" s="13">
        <f t="shared" si="11"/>
        <v>36.19462339934614</v>
      </c>
      <c r="AG26" s="26" t="s">
        <v>250</v>
      </c>
      <c r="AH26" s="6"/>
      <c r="AI26" s="8">
        <f t="shared" si="16"/>
        <v>7.583333333333333</v>
      </c>
      <c r="AJ26" s="8">
        <f>35/60</f>
        <v>0.5833333333333334</v>
      </c>
    </row>
    <row r="27" spans="1:36" ht="12.75">
      <c r="A27" s="39">
        <v>0.3194444444444445</v>
      </c>
      <c r="B27" s="10">
        <v>0.0033078703703703707</v>
      </c>
      <c r="C27" s="7">
        <v>0.3194444444444445</v>
      </c>
      <c r="D27" s="10">
        <v>0.009924768518518519</v>
      </c>
      <c r="E27" s="10">
        <v>0.016541666666666666</v>
      </c>
      <c r="F27" s="10">
        <v>0.03308217592592593</v>
      </c>
      <c r="G27" s="26" t="s">
        <v>78</v>
      </c>
      <c r="H27" s="26" t="s">
        <v>163</v>
      </c>
      <c r="I27" s="26" t="s">
        <v>251</v>
      </c>
      <c r="J27" s="40">
        <v>0.3194444444444445</v>
      </c>
      <c r="K27" s="7">
        <v>0.3194444444444445</v>
      </c>
      <c r="L27" s="21">
        <f t="shared" si="0"/>
        <v>4.763845807152894</v>
      </c>
      <c r="M27" s="23">
        <f t="shared" si="13"/>
        <v>45.830748429173624</v>
      </c>
      <c r="N27" s="10">
        <v>0.0033078703703703707</v>
      </c>
      <c r="O27" s="7">
        <v>0.3194444444444445</v>
      </c>
      <c r="P27" s="6">
        <f t="shared" si="2"/>
        <v>14.291537421458681</v>
      </c>
      <c r="Q27" s="13">
        <f t="shared" si="17"/>
        <v>17.492245287520873</v>
      </c>
      <c r="R27" s="10">
        <v>0.009924768518518519</v>
      </c>
      <c r="S27" s="9">
        <f t="shared" si="4"/>
        <v>23.81922903576447</v>
      </c>
      <c r="T27" s="13">
        <f>60*(S27-23)</f>
        <v>49.15374214586812</v>
      </c>
      <c r="U27" s="10">
        <v>0.016541666666666666</v>
      </c>
      <c r="V27" s="6">
        <f t="shared" si="5"/>
        <v>47.63845807152894</v>
      </c>
      <c r="W27" s="23">
        <f>60*(V27-47)</f>
        <v>38.307484291736245</v>
      </c>
      <c r="X27" s="10">
        <v>0.03308217592592593</v>
      </c>
      <c r="Y27" s="6">
        <f t="shared" si="6"/>
        <v>95.27691614305787</v>
      </c>
      <c r="Z27" s="23">
        <f t="shared" si="7"/>
        <v>16.61496858347249</v>
      </c>
      <c r="AA27" s="26" t="s">
        <v>78</v>
      </c>
      <c r="AB27" s="6">
        <f t="shared" si="8"/>
        <v>201.01041666666669</v>
      </c>
      <c r="AC27" s="23">
        <f t="shared" si="9"/>
        <v>0.6250000000011369</v>
      </c>
      <c r="AD27" s="26" t="s">
        <v>163</v>
      </c>
      <c r="AE27" s="6">
        <f t="shared" si="10"/>
        <v>238.1922903576447</v>
      </c>
      <c r="AF27" s="13">
        <f t="shared" si="11"/>
        <v>11.537421458682502</v>
      </c>
      <c r="AG27" s="26" t="s">
        <v>251</v>
      </c>
      <c r="AH27" s="6"/>
      <c r="AI27" s="8">
        <f t="shared" si="16"/>
        <v>7.666666666666667</v>
      </c>
      <c r="AJ27" s="8">
        <f>4/6</f>
        <v>0.6666666666666666</v>
      </c>
    </row>
    <row r="28" spans="1:36" ht="12.75">
      <c r="A28" s="39">
        <v>0.3229166666666667</v>
      </c>
      <c r="B28" s="10">
        <v>0.0033437499999999995</v>
      </c>
      <c r="C28" s="7">
        <v>0.3229166666666667</v>
      </c>
      <c r="D28" s="10">
        <v>0.010032407407407408</v>
      </c>
      <c r="E28" s="10">
        <v>0.016721064814814814</v>
      </c>
      <c r="F28" s="10">
        <v>0.03344212962962963</v>
      </c>
      <c r="G28" s="26" t="s">
        <v>79</v>
      </c>
      <c r="H28" s="26" t="s">
        <v>164</v>
      </c>
      <c r="I28" s="26" t="s">
        <v>229</v>
      </c>
      <c r="J28" s="40">
        <v>0.3229166666666667</v>
      </c>
      <c r="K28" s="7">
        <v>0.3229166666666667</v>
      </c>
      <c r="L28" s="21">
        <f t="shared" si="0"/>
        <v>4.815626739839338</v>
      </c>
      <c r="M28" s="23">
        <f t="shared" si="13"/>
        <v>48.93760439036029</v>
      </c>
      <c r="N28" s="10">
        <v>0.0033437499999999995</v>
      </c>
      <c r="O28" s="7">
        <v>0.3229166666666667</v>
      </c>
      <c r="P28" s="6">
        <f t="shared" si="2"/>
        <v>14.446880219518015</v>
      </c>
      <c r="Q28" s="13">
        <f t="shared" si="17"/>
        <v>26.812813171080876</v>
      </c>
      <c r="R28" s="10">
        <v>0.010032407407407408</v>
      </c>
      <c r="S28" s="9">
        <f t="shared" si="4"/>
        <v>24.07813369919669</v>
      </c>
      <c r="T28" s="13">
        <f>60*(S28-24)</f>
        <v>4.68802195180146</v>
      </c>
      <c r="U28" s="10">
        <v>0.016721064814814814</v>
      </c>
      <c r="V28" s="6">
        <f t="shared" si="5"/>
        <v>48.15626739839338</v>
      </c>
      <c r="W28" s="23">
        <f>60*(V28-48)</f>
        <v>9.37604390360292</v>
      </c>
      <c r="X28" s="10">
        <v>0.03344212962962963</v>
      </c>
      <c r="Y28" s="6">
        <f t="shared" si="6"/>
        <v>96.31253479678676</v>
      </c>
      <c r="Z28" s="23">
        <f t="shared" si="7"/>
        <v>18.75208780720584</v>
      </c>
      <c r="AA28" s="26" t="s">
        <v>79</v>
      </c>
      <c r="AB28" s="6">
        <f t="shared" si="8"/>
        <v>203.1953125</v>
      </c>
      <c r="AC28" s="23">
        <f t="shared" si="9"/>
        <v>11.71875</v>
      </c>
      <c r="AD28" s="26" t="s">
        <v>164</v>
      </c>
      <c r="AE28" s="6">
        <f t="shared" si="10"/>
        <v>240.7813369919669</v>
      </c>
      <c r="AF28" s="13">
        <f t="shared" si="11"/>
        <v>46.880219518013746</v>
      </c>
      <c r="AG28" s="26" t="s">
        <v>229</v>
      </c>
      <c r="AH28" s="6"/>
      <c r="AI28" s="8">
        <f t="shared" si="16"/>
        <v>7.75</v>
      </c>
      <c r="AJ28" s="8">
        <f>45/60</f>
        <v>0.75</v>
      </c>
    </row>
    <row r="29" spans="1:36" ht="12.75">
      <c r="A29" s="39">
        <v>0.3263888888888889</v>
      </c>
      <c r="B29" s="10">
        <v>0.00337962962962963</v>
      </c>
      <c r="C29" s="7">
        <v>0.3263888888888889</v>
      </c>
      <c r="D29" s="10">
        <v>0.010140046296296296</v>
      </c>
      <c r="E29" s="10">
        <v>0.01690046296296296</v>
      </c>
      <c r="F29" s="10">
        <v>0.03380092592592592</v>
      </c>
      <c r="G29" s="26" t="s">
        <v>80</v>
      </c>
      <c r="H29" s="26" t="s">
        <v>165</v>
      </c>
      <c r="I29" s="26" t="s">
        <v>254</v>
      </c>
      <c r="J29" s="40">
        <v>0.3263888888888889</v>
      </c>
      <c r="K29" s="7">
        <v>0.3263888888888889</v>
      </c>
      <c r="L29" s="21">
        <f t="shared" si="0"/>
        <v>4.867407672525783</v>
      </c>
      <c r="M29" s="23">
        <f t="shared" si="13"/>
        <v>52.04446035154696</v>
      </c>
      <c r="N29" s="10">
        <v>0.00337962962962963</v>
      </c>
      <c r="O29" s="7">
        <v>0.3263888888888889</v>
      </c>
      <c r="P29" s="6">
        <f t="shared" si="2"/>
        <v>14.602223017577348</v>
      </c>
      <c r="Q29" s="13">
        <f t="shared" si="17"/>
        <v>36.13338105464088</v>
      </c>
      <c r="R29" s="10">
        <v>0.010140046296296296</v>
      </c>
      <c r="S29" s="9">
        <f t="shared" si="4"/>
        <v>24.33703836262891</v>
      </c>
      <c r="T29" s="13">
        <f>60*(S29-24)</f>
        <v>20.222301757734584</v>
      </c>
      <c r="U29" s="10">
        <v>0.01690046296296296</v>
      </c>
      <c r="V29" s="6">
        <f t="shared" si="5"/>
        <v>48.67407672525782</v>
      </c>
      <c r="W29" s="23">
        <f>60*(V29-48)</f>
        <v>40.44460351546917</v>
      </c>
      <c r="X29" s="10">
        <v>0.03380092592592592</v>
      </c>
      <c r="Y29" s="6">
        <f t="shared" si="6"/>
        <v>97.34815345051564</v>
      </c>
      <c r="Z29" s="23">
        <f t="shared" si="7"/>
        <v>20.889207030938337</v>
      </c>
      <c r="AA29" s="26" t="s">
        <v>80</v>
      </c>
      <c r="AB29" s="6">
        <f t="shared" si="8"/>
        <v>205.38020833333331</v>
      </c>
      <c r="AC29" s="23">
        <f t="shared" si="9"/>
        <v>22.812499999998863</v>
      </c>
      <c r="AD29" s="26" t="s">
        <v>165</v>
      </c>
      <c r="AE29" s="6">
        <f t="shared" si="10"/>
        <v>243.3703836262891</v>
      </c>
      <c r="AF29" s="13">
        <f t="shared" si="11"/>
        <v>22.223017577346695</v>
      </c>
      <c r="AG29" s="26" t="s">
        <v>254</v>
      </c>
      <c r="AH29" s="6"/>
      <c r="AI29" s="8">
        <f t="shared" si="16"/>
        <v>7.833333333333333</v>
      </c>
      <c r="AJ29" s="8">
        <f>50/60</f>
        <v>0.8333333333333334</v>
      </c>
    </row>
    <row r="30" spans="1:36" ht="12.75">
      <c r="A30" s="41">
        <v>0.3298611111111111</v>
      </c>
      <c r="B30" s="29">
        <v>0.003416666666666667</v>
      </c>
      <c r="C30" s="28">
        <v>0.3298611111111111</v>
      </c>
      <c r="D30" s="29">
        <v>0.010248842592592592</v>
      </c>
      <c r="E30" s="29">
        <v>0.01708101851851852</v>
      </c>
      <c r="F30" s="29">
        <v>0.03416087962962963</v>
      </c>
      <c r="G30" s="25" t="s">
        <v>81</v>
      </c>
      <c r="H30" s="25" t="s">
        <v>166</v>
      </c>
      <c r="I30" s="25" t="s">
        <v>255</v>
      </c>
      <c r="J30" s="42">
        <v>0.3298611111111111</v>
      </c>
      <c r="K30" s="7">
        <v>0.3298611111111111</v>
      </c>
      <c r="L30" s="21">
        <f t="shared" si="0"/>
        <v>4.919188605212227</v>
      </c>
      <c r="M30" s="23">
        <f t="shared" si="13"/>
        <v>55.15131631273363</v>
      </c>
      <c r="N30" s="10">
        <v>0.003416666666666667</v>
      </c>
      <c r="O30" s="7">
        <v>0.3298611111111111</v>
      </c>
      <c r="P30" s="6">
        <f t="shared" si="2"/>
        <v>14.757565815636681</v>
      </c>
      <c r="Q30" s="13">
        <f t="shared" si="17"/>
        <v>45.45394893820088</v>
      </c>
      <c r="R30" s="10">
        <v>0.010248842592592592</v>
      </c>
      <c r="S30" s="9">
        <f t="shared" si="4"/>
        <v>24.595943026061136</v>
      </c>
      <c r="T30" s="13">
        <f>60*(S30-24)</f>
        <v>35.756581563668135</v>
      </c>
      <c r="U30" s="10">
        <v>0.01708101851851852</v>
      </c>
      <c r="V30" s="6">
        <f t="shared" si="5"/>
        <v>49.19188605212227</v>
      </c>
      <c r="W30" s="23">
        <f>60*(V30-49)</f>
        <v>11.51316312733627</v>
      </c>
      <c r="X30" s="10">
        <v>0.03416087962962963</v>
      </c>
      <c r="Y30" s="6">
        <f t="shared" si="6"/>
        <v>98.38377210424454</v>
      </c>
      <c r="Z30" s="23">
        <f t="shared" si="7"/>
        <v>23.02632625467254</v>
      </c>
      <c r="AA30" s="26" t="s">
        <v>81</v>
      </c>
      <c r="AB30" s="6">
        <f t="shared" si="8"/>
        <v>207.56510416666669</v>
      </c>
      <c r="AC30" s="23">
        <f t="shared" si="9"/>
        <v>33.90625000000114</v>
      </c>
      <c r="AD30" s="26" t="s">
        <v>166</v>
      </c>
      <c r="AE30" s="6">
        <f t="shared" si="10"/>
        <v>245.95943026061138</v>
      </c>
      <c r="AF30" s="13">
        <f t="shared" si="11"/>
        <v>57.565815636683055</v>
      </c>
      <c r="AG30" s="26" t="s">
        <v>255</v>
      </c>
      <c r="AH30" s="6"/>
      <c r="AI30" s="8">
        <f t="shared" si="16"/>
        <v>7.916666666666667</v>
      </c>
      <c r="AJ30" s="8">
        <f>55/60</f>
        <v>0.9166666666666666</v>
      </c>
    </row>
    <row r="31" spans="1:36" ht="12.75">
      <c r="A31" s="39">
        <v>0.3333333333333333</v>
      </c>
      <c r="B31" s="10">
        <v>0.003452546296296296</v>
      </c>
      <c r="C31" s="7">
        <v>0.3333333333333333</v>
      </c>
      <c r="D31" s="10">
        <v>0.010356481481481482</v>
      </c>
      <c r="E31" s="10">
        <v>0.017260416666666667</v>
      </c>
      <c r="F31" s="10">
        <v>0.034520833333333334</v>
      </c>
      <c r="G31" s="26" t="s">
        <v>82</v>
      </c>
      <c r="H31" s="26" t="s">
        <v>167</v>
      </c>
      <c r="I31" s="26" t="s">
        <v>256</v>
      </c>
      <c r="J31" s="40">
        <v>0.3333333333333333</v>
      </c>
      <c r="K31" s="2">
        <v>0.3333333333333333</v>
      </c>
      <c r="L31" s="21">
        <f t="shared" si="0"/>
        <v>4.970969537898672</v>
      </c>
      <c r="M31" s="23">
        <f t="shared" si="13"/>
        <v>58.258172273920295</v>
      </c>
      <c r="N31" s="18">
        <v>0.003452546296296296</v>
      </c>
      <c r="O31" s="2">
        <v>0.3333333333333333</v>
      </c>
      <c r="P31" s="6">
        <f t="shared" si="2"/>
        <v>14.912908613696015</v>
      </c>
      <c r="Q31" s="13">
        <f t="shared" si="17"/>
        <v>54.77451682176088</v>
      </c>
      <c r="R31" s="10">
        <v>0.010356481481481482</v>
      </c>
      <c r="S31" s="9">
        <f t="shared" si="4"/>
        <v>24.854847689493358</v>
      </c>
      <c r="T31" s="13">
        <f>60*(S31-24)</f>
        <v>51.29086136960147</v>
      </c>
      <c r="U31" s="10">
        <v>0.017260416666666667</v>
      </c>
      <c r="V31" s="6">
        <f t="shared" si="5"/>
        <v>49.709695378986716</v>
      </c>
      <c r="W31" s="23">
        <f>60*(V31-49)</f>
        <v>42.581722739202945</v>
      </c>
      <c r="X31" s="18">
        <v>0.034520833333333334</v>
      </c>
      <c r="Y31" s="6">
        <f t="shared" si="6"/>
        <v>99.41939075797343</v>
      </c>
      <c r="Z31" s="23">
        <f t="shared" si="7"/>
        <v>25.16344547840589</v>
      </c>
      <c r="AA31" s="24" t="s">
        <v>82</v>
      </c>
      <c r="AB31" s="6">
        <f t="shared" si="8"/>
        <v>209.75</v>
      </c>
      <c r="AC31" s="23">
        <f t="shared" si="9"/>
        <v>45</v>
      </c>
      <c r="AD31" s="24" t="s">
        <v>167</v>
      </c>
      <c r="AE31" s="6">
        <f t="shared" si="10"/>
        <v>248.54847689493357</v>
      </c>
      <c r="AF31" s="13">
        <f t="shared" si="11"/>
        <v>32.9086136960143</v>
      </c>
      <c r="AG31" s="24" t="s">
        <v>256</v>
      </c>
      <c r="AI31" s="8">
        <f aca="true" t="shared" si="18" ref="AI31:AI42">8+AJ31</f>
        <v>8</v>
      </c>
      <c r="AJ31" s="8">
        <v>0</v>
      </c>
    </row>
    <row r="32" spans="1:36" ht="12.75">
      <c r="A32" s="39">
        <v>0.3368055555555556</v>
      </c>
      <c r="B32" s="10">
        <v>0.003488425925925926</v>
      </c>
      <c r="C32" s="7">
        <v>0.3368055555555556</v>
      </c>
      <c r="D32" s="10">
        <v>0.010464120370370372</v>
      </c>
      <c r="E32" s="10">
        <v>0.017439814814814814</v>
      </c>
      <c r="F32" s="10">
        <v>0.03488078703703704</v>
      </c>
      <c r="G32" s="26" t="s">
        <v>83</v>
      </c>
      <c r="H32" s="26" t="s">
        <v>168</v>
      </c>
      <c r="I32" s="26" t="s">
        <v>257</v>
      </c>
      <c r="J32" s="40">
        <v>0.3368055555555556</v>
      </c>
      <c r="K32" s="2">
        <v>0.3368055555555556</v>
      </c>
      <c r="L32" s="21">
        <f t="shared" si="0"/>
        <v>5.022750470585116</v>
      </c>
      <c r="M32" s="23">
        <f aca="true" t="shared" si="19" ref="M32:M50">60*(L32-5)</f>
        <v>1.365028235106962</v>
      </c>
      <c r="N32" s="18">
        <v>0.003488425925925926</v>
      </c>
      <c r="O32" s="2">
        <v>0.3368055555555556</v>
      </c>
      <c r="P32" s="6">
        <f t="shared" si="2"/>
        <v>15.06825141175535</v>
      </c>
      <c r="Q32" s="13">
        <f aca="true" t="shared" si="20" ref="Q32:Q37">(P32-15)*60</f>
        <v>4.095084705320993</v>
      </c>
      <c r="R32" s="10">
        <v>0.010464120370370372</v>
      </c>
      <c r="S32" s="9">
        <f t="shared" si="4"/>
        <v>25.113752352925584</v>
      </c>
      <c r="T32" s="13">
        <f>60*(S32-25)</f>
        <v>6.825141175535023</v>
      </c>
      <c r="U32" s="10">
        <v>0.017439814814814814</v>
      </c>
      <c r="V32" s="6">
        <f t="shared" si="5"/>
        <v>50.22750470585117</v>
      </c>
      <c r="W32" s="23">
        <f>60*(V32-50)</f>
        <v>13.650282351070047</v>
      </c>
      <c r="X32" s="18">
        <v>0.03488078703703704</v>
      </c>
      <c r="Y32" s="6">
        <f t="shared" si="6"/>
        <v>100.45500941170233</v>
      </c>
      <c r="Z32" s="23">
        <f t="shared" si="7"/>
        <v>27.300564702140093</v>
      </c>
      <c r="AA32" s="24" t="s">
        <v>83</v>
      </c>
      <c r="AB32" s="6">
        <f t="shared" si="8"/>
        <v>211.93489583333334</v>
      </c>
      <c r="AC32" s="23">
        <f t="shared" si="9"/>
        <v>56.09375000000057</v>
      </c>
      <c r="AD32" s="24" t="s">
        <v>168</v>
      </c>
      <c r="AE32" s="6">
        <f t="shared" si="10"/>
        <v>251.13752352925582</v>
      </c>
      <c r="AF32" s="13">
        <f t="shared" si="11"/>
        <v>8.251411755348954</v>
      </c>
      <c r="AG32" s="24" t="s">
        <v>257</v>
      </c>
      <c r="AI32" s="8">
        <f t="shared" si="18"/>
        <v>8.083333333333334</v>
      </c>
      <c r="AJ32" s="8">
        <f>5/60</f>
        <v>0.08333333333333333</v>
      </c>
    </row>
    <row r="33" spans="1:36" ht="12.75">
      <c r="A33" s="39">
        <v>0.34027777777777773</v>
      </c>
      <c r="B33" s="10">
        <v>0.0035243055555555553</v>
      </c>
      <c r="C33" s="7">
        <v>0.34027777777777773</v>
      </c>
      <c r="D33" s="10">
        <v>0.01057175925925926</v>
      </c>
      <c r="E33" s="10">
        <v>0.017620370370370373</v>
      </c>
      <c r="F33" s="10">
        <v>0.03523958333333333</v>
      </c>
      <c r="G33" s="26" t="s">
        <v>84</v>
      </c>
      <c r="H33" s="26" t="s">
        <v>169</v>
      </c>
      <c r="I33" s="26" t="s">
        <v>258</v>
      </c>
      <c r="J33" s="40">
        <v>0.34027777777777773</v>
      </c>
      <c r="K33" s="2">
        <v>0.34027777777777773</v>
      </c>
      <c r="L33" s="21">
        <f t="shared" si="0"/>
        <v>5.07453140327156</v>
      </c>
      <c r="M33" s="23">
        <f t="shared" si="19"/>
        <v>4.471884196293576</v>
      </c>
      <c r="N33" s="18">
        <v>0.0035243055555555553</v>
      </c>
      <c r="O33" s="2">
        <v>0.34027777777777773</v>
      </c>
      <c r="P33" s="6">
        <f t="shared" si="2"/>
        <v>15.223594209814681</v>
      </c>
      <c r="Q33" s="13">
        <f t="shared" si="20"/>
        <v>13.415652588880889</v>
      </c>
      <c r="R33" s="10">
        <v>0.01057175925925926</v>
      </c>
      <c r="S33" s="9">
        <f t="shared" si="4"/>
        <v>25.3726570163578</v>
      </c>
      <c r="T33" s="13">
        <f>60*(S33-25)</f>
        <v>22.359420981467935</v>
      </c>
      <c r="U33" s="10">
        <v>0.017620370370370373</v>
      </c>
      <c r="V33" s="6">
        <f t="shared" si="5"/>
        <v>50.7453140327156</v>
      </c>
      <c r="W33" s="23">
        <f>60*(V33-50)</f>
        <v>44.71884196293587</v>
      </c>
      <c r="X33" s="18">
        <v>0.03523958333333333</v>
      </c>
      <c r="Y33" s="6">
        <f t="shared" si="6"/>
        <v>101.4906280654312</v>
      </c>
      <c r="Z33" s="23">
        <f t="shared" si="7"/>
        <v>29.437683925871738</v>
      </c>
      <c r="AA33" s="24" t="s">
        <v>84</v>
      </c>
      <c r="AB33" s="6">
        <f t="shared" si="8"/>
        <v>214.11979166666666</v>
      </c>
      <c r="AC33" s="23">
        <f t="shared" si="9"/>
        <v>7.187499999999432</v>
      </c>
      <c r="AD33" s="24" t="s">
        <v>169</v>
      </c>
      <c r="AE33" s="6">
        <f t="shared" si="10"/>
        <v>253.726570163578</v>
      </c>
      <c r="AF33" s="13">
        <f t="shared" si="11"/>
        <v>43.5942098146802</v>
      </c>
      <c r="AG33" s="24" t="s">
        <v>258</v>
      </c>
      <c r="AI33" s="8">
        <f t="shared" si="18"/>
        <v>8.166666666666666</v>
      </c>
      <c r="AJ33" s="8">
        <f>1/6</f>
        <v>0.16666666666666666</v>
      </c>
    </row>
    <row r="34" spans="1:36" ht="12.75">
      <c r="A34" s="39">
        <v>0.34375</v>
      </c>
      <c r="B34" s="10">
        <v>0.0035601851851851853</v>
      </c>
      <c r="C34" s="7">
        <v>0.34375</v>
      </c>
      <c r="D34" s="10">
        <v>0.010679398148148148</v>
      </c>
      <c r="E34" s="10">
        <v>0.01779976851851852</v>
      </c>
      <c r="F34" s="10">
        <v>0.03559953703703704</v>
      </c>
      <c r="G34" s="26" t="s">
        <v>85</v>
      </c>
      <c r="H34" s="26" t="s">
        <v>170</v>
      </c>
      <c r="I34" s="26" t="s">
        <v>259</v>
      </c>
      <c r="J34" s="40">
        <v>0.34375</v>
      </c>
      <c r="K34" s="2">
        <v>0.34375</v>
      </c>
      <c r="L34" s="21">
        <f t="shared" si="0"/>
        <v>5.126312335958005</v>
      </c>
      <c r="M34" s="23">
        <f t="shared" si="19"/>
        <v>7.578740157480297</v>
      </c>
      <c r="N34" s="18">
        <v>0.0035601851851851853</v>
      </c>
      <c r="O34" s="2">
        <v>0.34375</v>
      </c>
      <c r="P34" s="6">
        <f t="shared" si="2"/>
        <v>15.378937007874015</v>
      </c>
      <c r="Q34" s="13">
        <f t="shared" si="20"/>
        <v>22.73622047244089</v>
      </c>
      <c r="R34" s="10">
        <v>0.010679398148148148</v>
      </c>
      <c r="S34" s="9">
        <f t="shared" si="4"/>
        <v>25.631561679790025</v>
      </c>
      <c r="T34" s="13">
        <f>60*(S34-25)</f>
        <v>37.893700787401485</v>
      </c>
      <c r="U34" s="10">
        <v>0.01779976851851852</v>
      </c>
      <c r="V34" s="6">
        <f t="shared" si="5"/>
        <v>51.26312335958005</v>
      </c>
      <c r="W34" s="23">
        <f>60*(V34-51)</f>
        <v>15.78740157480297</v>
      </c>
      <c r="X34" s="18">
        <v>0.03559953703703704</v>
      </c>
      <c r="Y34" s="6">
        <f t="shared" si="6"/>
        <v>102.5262467191601</v>
      </c>
      <c r="Z34" s="23">
        <f t="shared" si="7"/>
        <v>31.57480314960594</v>
      </c>
      <c r="AA34" s="24" t="s">
        <v>85</v>
      </c>
      <c r="AB34" s="6">
        <f t="shared" si="8"/>
        <v>216.3046875</v>
      </c>
      <c r="AC34" s="23">
        <f t="shared" si="9"/>
        <v>18.28125</v>
      </c>
      <c r="AD34" s="24" t="s">
        <v>170</v>
      </c>
      <c r="AE34" s="6">
        <f t="shared" si="10"/>
        <v>256.31561679790025</v>
      </c>
      <c r="AF34" s="13">
        <f t="shared" si="11"/>
        <v>18.937007874014853</v>
      </c>
      <c r="AG34" s="24" t="s">
        <v>259</v>
      </c>
      <c r="AI34" s="8">
        <f t="shared" si="18"/>
        <v>8.25</v>
      </c>
      <c r="AJ34" s="8">
        <f>15/60</f>
        <v>0.25</v>
      </c>
    </row>
    <row r="35" spans="1:36" ht="12.75">
      <c r="A35" s="39">
        <v>0.34722222222222227</v>
      </c>
      <c r="B35" s="10">
        <v>0.0035960648148148154</v>
      </c>
      <c r="C35" s="7">
        <v>0.34722222222222227</v>
      </c>
      <c r="D35" s="10">
        <v>0.010788194444444446</v>
      </c>
      <c r="E35" s="10">
        <v>0.017979166666666668</v>
      </c>
      <c r="F35" s="10">
        <v>0.035959490740740736</v>
      </c>
      <c r="G35" s="26" t="s">
        <v>86</v>
      </c>
      <c r="H35" s="26" t="s">
        <v>171</v>
      </c>
      <c r="I35" s="26" t="s">
        <v>260</v>
      </c>
      <c r="J35" s="40">
        <v>0.34722222222222227</v>
      </c>
      <c r="K35" s="2">
        <v>0.34722222222222227</v>
      </c>
      <c r="L35" s="21">
        <f t="shared" si="0"/>
        <v>5.178093268644449</v>
      </c>
      <c r="M35" s="23">
        <f t="shared" si="19"/>
        <v>10.685596118666965</v>
      </c>
      <c r="N35" s="18">
        <v>0.0035960648148148154</v>
      </c>
      <c r="O35" s="2">
        <v>0.34722222222222227</v>
      </c>
      <c r="P35" s="6">
        <f t="shared" si="2"/>
        <v>15.53427980593335</v>
      </c>
      <c r="Q35" s="13">
        <f t="shared" si="20"/>
        <v>32.056788356001</v>
      </c>
      <c r="R35" s="10">
        <v>0.010788194444444446</v>
      </c>
      <c r="S35" s="9">
        <f t="shared" si="4"/>
        <v>25.89046634322225</v>
      </c>
      <c r="T35" s="13">
        <f>60*(S35-25)</f>
        <v>53.427980593335036</v>
      </c>
      <c r="U35" s="10">
        <v>0.017979166666666668</v>
      </c>
      <c r="V35" s="6">
        <f t="shared" si="5"/>
        <v>51.7809326864445</v>
      </c>
      <c r="W35" s="23">
        <f>60*(V35-51)</f>
        <v>46.85596118667007</v>
      </c>
      <c r="X35" s="18">
        <v>0.035959490740740736</v>
      </c>
      <c r="Y35" s="6">
        <f t="shared" si="6"/>
        <v>103.561865372889</v>
      </c>
      <c r="Z35" s="23">
        <f t="shared" si="7"/>
        <v>33.711922373340144</v>
      </c>
      <c r="AA35" s="24" t="s">
        <v>86</v>
      </c>
      <c r="AB35" s="6">
        <f t="shared" si="8"/>
        <v>218.48958333333334</v>
      </c>
      <c r="AC35" s="23">
        <f t="shared" si="9"/>
        <v>29.37500000000057</v>
      </c>
      <c r="AD35" s="24" t="s">
        <v>171</v>
      </c>
      <c r="AE35" s="6">
        <f t="shared" si="10"/>
        <v>258.9046634322225</v>
      </c>
      <c r="AF35" s="13">
        <f t="shared" si="11"/>
        <v>54.27980593334951</v>
      </c>
      <c r="AG35" s="24" t="s">
        <v>260</v>
      </c>
      <c r="AI35" s="8">
        <f t="shared" si="18"/>
        <v>8.333333333333334</v>
      </c>
      <c r="AJ35" s="8">
        <f>20/60</f>
        <v>0.3333333333333333</v>
      </c>
    </row>
    <row r="36" spans="1:36" ht="12.75">
      <c r="A36" s="41">
        <v>0.3506944444444444</v>
      </c>
      <c r="B36" s="29">
        <v>0.0036319444444444446</v>
      </c>
      <c r="C36" s="28">
        <v>0.3506944444444444</v>
      </c>
      <c r="D36" s="29">
        <v>0.010895833333333334</v>
      </c>
      <c r="E36" s="29">
        <v>0.01815972222222222</v>
      </c>
      <c r="F36" s="29">
        <v>0.03631828703703704</v>
      </c>
      <c r="G36" s="25" t="s">
        <v>87</v>
      </c>
      <c r="H36" s="25" t="s">
        <v>172</v>
      </c>
      <c r="I36" s="25" t="s">
        <v>261</v>
      </c>
      <c r="J36" s="42">
        <v>0.3506944444444444</v>
      </c>
      <c r="K36" s="2">
        <v>0.3506944444444444</v>
      </c>
      <c r="L36" s="21">
        <f t="shared" si="0"/>
        <v>5.229874201330894</v>
      </c>
      <c r="M36" s="23">
        <f t="shared" si="19"/>
        <v>13.792452079853632</v>
      </c>
      <c r="N36" s="18">
        <v>0.0036319444444444446</v>
      </c>
      <c r="O36" s="2">
        <v>0.3506944444444444</v>
      </c>
      <c r="P36" s="6">
        <f t="shared" si="2"/>
        <v>15.689622603992682</v>
      </c>
      <c r="Q36" s="13">
        <f t="shared" si="20"/>
        <v>41.377356239560896</v>
      </c>
      <c r="R36" s="10">
        <v>0.010895833333333334</v>
      </c>
      <c r="S36" s="9">
        <f t="shared" si="4"/>
        <v>26.149371006654466</v>
      </c>
      <c r="T36" s="13">
        <f>60*(S36-26)</f>
        <v>8.962260399267947</v>
      </c>
      <c r="U36" s="10">
        <v>0.01815972222222222</v>
      </c>
      <c r="V36" s="6">
        <f t="shared" si="5"/>
        <v>52.29874201330893</v>
      </c>
      <c r="W36" s="23">
        <f>60*(V36-52)</f>
        <v>17.924520798535895</v>
      </c>
      <c r="X36" s="18">
        <v>0.03631828703703704</v>
      </c>
      <c r="Y36" s="6">
        <f t="shared" si="6"/>
        <v>104.59748402661786</v>
      </c>
      <c r="Z36" s="23">
        <f t="shared" si="7"/>
        <v>35.84904159707179</v>
      </c>
      <c r="AA36" s="24" t="s">
        <v>87</v>
      </c>
      <c r="AB36" s="6">
        <f t="shared" si="8"/>
        <v>220.67447916666666</v>
      </c>
      <c r="AC36" s="23">
        <f t="shared" si="9"/>
        <v>40.46874999999943</v>
      </c>
      <c r="AD36" s="24" t="s">
        <v>172</v>
      </c>
      <c r="AE36" s="6">
        <f t="shared" si="10"/>
        <v>261.4937100665447</v>
      </c>
      <c r="AF36" s="13">
        <f t="shared" si="11"/>
        <v>29.62260399268075</v>
      </c>
      <c r="AG36" s="24" t="s">
        <v>261</v>
      </c>
      <c r="AI36" s="8">
        <f t="shared" si="18"/>
        <v>8.416666666666666</v>
      </c>
      <c r="AJ36" s="8">
        <f>25/60</f>
        <v>0.4166666666666667</v>
      </c>
    </row>
    <row r="37" spans="1:36" ht="12.75">
      <c r="A37" s="39">
        <v>0.3541666666666667</v>
      </c>
      <c r="B37" s="10">
        <v>0.0036678240740740738</v>
      </c>
      <c r="C37" s="7">
        <v>0.3541666666666667</v>
      </c>
      <c r="D37" s="10">
        <v>0.011003472222222222</v>
      </c>
      <c r="E37" s="10">
        <v>0.01833912037037037</v>
      </c>
      <c r="F37" s="10">
        <v>0.03667824074074074</v>
      </c>
      <c r="G37" s="26" t="s">
        <v>88</v>
      </c>
      <c r="H37" s="26" t="s">
        <v>173</v>
      </c>
      <c r="I37" s="26" t="s">
        <v>262</v>
      </c>
      <c r="J37" s="40">
        <v>0.3541666666666667</v>
      </c>
      <c r="K37" s="2">
        <v>0.3541666666666667</v>
      </c>
      <c r="L37" s="21">
        <f t="shared" si="0"/>
        <v>5.281655134017338</v>
      </c>
      <c r="M37" s="23">
        <f t="shared" si="19"/>
        <v>16.8993080410403</v>
      </c>
      <c r="N37" s="18">
        <v>0.0036678240740740738</v>
      </c>
      <c r="O37" s="2">
        <v>0.3541666666666667</v>
      </c>
      <c r="P37" s="6">
        <f t="shared" si="2"/>
        <v>15.844965402052015</v>
      </c>
      <c r="Q37" s="13">
        <f t="shared" si="20"/>
        <v>50.6979241231209</v>
      </c>
      <c r="R37" s="10">
        <v>0.011003472222222222</v>
      </c>
      <c r="S37" s="9">
        <f t="shared" si="4"/>
        <v>26.40827567008669</v>
      </c>
      <c r="T37" s="13">
        <f>60*(S37-26)</f>
        <v>24.496540205201498</v>
      </c>
      <c r="U37" s="10">
        <v>0.01833912037037037</v>
      </c>
      <c r="V37" s="6">
        <f t="shared" si="5"/>
        <v>52.81655134017338</v>
      </c>
      <c r="W37" s="23">
        <f>60*(V37-52)</f>
        <v>48.993080410402996</v>
      </c>
      <c r="X37" s="18">
        <v>0.03667824074074074</v>
      </c>
      <c r="Y37" s="6">
        <f t="shared" si="6"/>
        <v>105.63310268034677</v>
      </c>
      <c r="Z37" s="23">
        <f t="shared" si="7"/>
        <v>37.98616082080599</v>
      </c>
      <c r="AA37" s="24" t="s">
        <v>88</v>
      </c>
      <c r="AB37" s="6">
        <f t="shared" si="8"/>
        <v>222.859375</v>
      </c>
      <c r="AC37" s="23">
        <f t="shared" si="9"/>
        <v>51.5625</v>
      </c>
      <c r="AD37" s="24" t="s">
        <v>173</v>
      </c>
      <c r="AE37" s="6">
        <f t="shared" si="10"/>
        <v>264.0827567008669</v>
      </c>
      <c r="AF37" s="13">
        <f t="shared" si="11"/>
        <v>4.965402052015406</v>
      </c>
      <c r="AG37" s="24" t="s">
        <v>262</v>
      </c>
      <c r="AI37" s="8">
        <f t="shared" si="18"/>
        <v>8.5</v>
      </c>
      <c r="AJ37" s="8">
        <f>3/6</f>
        <v>0.5</v>
      </c>
    </row>
    <row r="38" spans="1:36" ht="12.75">
      <c r="A38" s="39">
        <v>0.3576388888888889</v>
      </c>
      <c r="B38" s="10">
        <v>0.0037037037037037034</v>
      </c>
      <c r="C38" s="7">
        <v>0.3576388888888889</v>
      </c>
      <c r="D38" s="10">
        <v>0.011111111111111112</v>
      </c>
      <c r="E38" s="10">
        <v>0.01851851851851852</v>
      </c>
      <c r="F38" s="10">
        <v>0.03703819444444444</v>
      </c>
      <c r="G38" s="26" t="s">
        <v>89</v>
      </c>
      <c r="H38" s="26" t="s">
        <v>174</v>
      </c>
      <c r="I38" s="26" t="s">
        <v>263</v>
      </c>
      <c r="J38" s="40">
        <v>0.3576388888888889</v>
      </c>
      <c r="K38" s="2">
        <v>0.3576388888888889</v>
      </c>
      <c r="L38" s="21">
        <f t="shared" si="0"/>
        <v>5.333436066703784</v>
      </c>
      <c r="M38" s="23">
        <f t="shared" si="19"/>
        <v>20.00616400222702</v>
      </c>
      <c r="N38" s="18">
        <v>0.0037037037037037034</v>
      </c>
      <c r="O38" s="2">
        <v>0.3576388888888889</v>
      </c>
      <c r="P38" s="6">
        <f t="shared" si="2"/>
        <v>16.000308200111352</v>
      </c>
      <c r="Q38" s="13">
        <f aca="true" t="shared" si="21" ref="Q38:Q44">(P38-16)*60</f>
        <v>0.018492006681114503</v>
      </c>
      <c r="R38" s="10">
        <v>0.011111111111111112</v>
      </c>
      <c r="S38" s="9">
        <f t="shared" si="4"/>
        <v>26.667180333518917</v>
      </c>
      <c r="T38" s="13">
        <f>60*(S38-26)</f>
        <v>40.03082001113505</v>
      </c>
      <c r="U38" s="10">
        <v>0.01851851851851852</v>
      </c>
      <c r="V38" s="6">
        <f t="shared" si="5"/>
        <v>53.334360667037835</v>
      </c>
      <c r="W38" s="23">
        <f>60*(V38-53)</f>
        <v>20.061640022270097</v>
      </c>
      <c r="X38" s="18">
        <v>0.03703819444444444</v>
      </c>
      <c r="Y38" s="6">
        <f t="shared" si="6"/>
        <v>106.66872133407567</v>
      </c>
      <c r="Z38" s="23">
        <f t="shared" si="7"/>
        <v>40.123280044540195</v>
      </c>
      <c r="AA38" s="24" t="s">
        <v>89</v>
      </c>
      <c r="AB38" s="6">
        <f t="shared" si="8"/>
        <v>225.04427083333334</v>
      </c>
      <c r="AC38" s="23">
        <f t="shared" si="9"/>
        <v>2.6562500000005684</v>
      </c>
      <c r="AD38" s="24" t="s">
        <v>174</v>
      </c>
      <c r="AE38" s="6">
        <f t="shared" si="10"/>
        <v>266.67180333518917</v>
      </c>
      <c r="AF38" s="13">
        <f t="shared" si="11"/>
        <v>40.30820011135006</v>
      </c>
      <c r="AG38" s="24" t="s">
        <v>263</v>
      </c>
      <c r="AI38" s="8">
        <f t="shared" si="18"/>
        <v>8.583333333333334</v>
      </c>
      <c r="AJ38" s="8">
        <f>35/60</f>
        <v>0.5833333333333334</v>
      </c>
    </row>
    <row r="39" spans="1:36" ht="12.75">
      <c r="A39" s="39">
        <v>0.3611111111111111</v>
      </c>
      <c r="B39" s="10">
        <v>0.003739583333333333</v>
      </c>
      <c r="C39" s="7">
        <v>0.3611111111111111</v>
      </c>
      <c r="D39" s="10">
        <v>0.011218750000000001</v>
      </c>
      <c r="E39" s="10">
        <v>0.018699074074074073</v>
      </c>
      <c r="F39" s="10">
        <v>0.037396990740740745</v>
      </c>
      <c r="G39" s="26" t="s">
        <v>90</v>
      </c>
      <c r="H39" s="26" t="s">
        <v>175</v>
      </c>
      <c r="I39" s="26" t="s">
        <v>264</v>
      </c>
      <c r="J39" s="40">
        <v>0.3611111111111111</v>
      </c>
      <c r="K39" s="2">
        <v>0.3611111111111111</v>
      </c>
      <c r="L39" s="21">
        <f aca="true" t="shared" si="22" ref="L39:L70">AI39/1.609344</f>
        <v>5.385216999390227</v>
      </c>
      <c r="M39" s="23">
        <f t="shared" si="19"/>
        <v>23.113019963413635</v>
      </c>
      <c r="N39" s="18">
        <v>0.003739583333333333</v>
      </c>
      <c r="O39" s="2">
        <v>0.3611111111111111</v>
      </c>
      <c r="P39" s="6">
        <f aca="true" t="shared" si="23" ref="P39:P70">(3/1.609344)*AI39</f>
        <v>16.15565099817068</v>
      </c>
      <c r="Q39" s="13">
        <f t="shared" si="21"/>
        <v>9.339059890240904</v>
      </c>
      <c r="R39" s="10">
        <v>0.011218750000000001</v>
      </c>
      <c r="S39" s="9">
        <f aca="true" t="shared" si="24" ref="S39:S70">AI39*5/1.609344</f>
        <v>26.926084996951133</v>
      </c>
      <c r="T39" s="13">
        <f>60*(S39-26)</f>
        <v>55.56509981706796</v>
      </c>
      <c r="U39" s="18">
        <v>0.018699074074074073</v>
      </c>
      <c r="V39" s="6">
        <f aca="true" t="shared" si="25" ref="V39:V70">AI39*10/1.609344</f>
        <v>53.852169993902265</v>
      </c>
      <c r="W39" s="23">
        <f>60*(V39-53)</f>
        <v>51.13019963413592</v>
      </c>
      <c r="X39" s="18">
        <v>0.037396990740740745</v>
      </c>
      <c r="Y39" s="6">
        <f aca="true" t="shared" si="26" ref="Y39:Y70">AI39*20/1.609344</f>
        <v>107.70433998780453</v>
      </c>
      <c r="Z39" s="23">
        <f aca="true" t="shared" si="27" ref="Z39:Z70">60*(AI39*20/1.609344-TRUNC(AI39*20/1.609344))</f>
        <v>42.26039926827184</v>
      </c>
      <c r="AA39" s="24" t="s">
        <v>90</v>
      </c>
      <c r="AB39" s="6">
        <f aca="true" t="shared" si="28" ref="AB39:AB70">AI39*26.21875</f>
        <v>227.22916666666666</v>
      </c>
      <c r="AC39" s="23">
        <f aca="true" t="shared" si="29" ref="AC39:AC70">60*(AI39*26.21875-TRUNC(AI39*26.21875))</f>
        <v>13.749999999999432</v>
      </c>
      <c r="AD39" s="24" t="s">
        <v>175</v>
      </c>
      <c r="AE39" s="6">
        <f aca="true" t="shared" si="30" ref="AE39:AE70">AI39*50/1.609344</f>
        <v>269.26084996951136</v>
      </c>
      <c r="AF39" s="13">
        <f aca="true" t="shared" si="31" ref="AF39:AF70">60*(AI39*50/1.609344-TRUNC(AI39*50/1.609344))</f>
        <v>15.650998170681305</v>
      </c>
      <c r="AG39" s="24" t="s">
        <v>264</v>
      </c>
      <c r="AI39" s="8">
        <f t="shared" si="18"/>
        <v>8.666666666666666</v>
      </c>
      <c r="AJ39" s="8">
        <f>4/6</f>
        <v>0.6666666666666666</v>
      </c>
    </row>
    <row r="40" spans="1:36" ht="12.75">
      <c r="A40" s="39">
        <v>0.3645833333333333</v>
      </c>
      <c r="B40" s="10">
        <v>0.003775462962962963</v>
      </c>
      <c r="C40" s="7">
        <v>0.3645833333333333</v>
      </c>
      <c r="D40" s="10">
        <v>0.011327546296296296</v>
      </c>
      <c r="E40" s="10">
        <v>0.018878472222222224</v>
      </c>
      <c r="F40" s="10">
        <v>0.03775694444444445</v>
      </c>
      <c r="G40" s="26" t="s">
        <v>91</v>
      </c>
      <c r="H40" s="26" t="s">
        <v>176</v>
      </c>
      <c r="I40" s="26" t="s">
        <v>265</v>
      </c>
      <c r="J40" s="40">
        <v>0.3645833333333333</v>
      </c>
      <c r="K40" s="2">
        <v>0.3645833333333333</v>
      </c>
      <c r="L40" s="21">
        <f t="shared" si="22"/>
        <v>5.436997932076672</v>
      </c>
      <c r="M40" s="23">
        <f t="shared" si="19"/>
        <v>26.219875924600302</v>
      </c>
      <c r="N40" s="18">
        <v>0.003775462962962963</v>
      </c>
      <c r="O40" s="2">
        <v>0.3645833333333333</v>
      </c>
      <c r="P40" s="6">
        <f t="shared" si="23"/>
        <v>16.310993796230015</v>
      </c>
      <c r="Q40" s="13">
        <f t="shared" si="21"/>
        <v>18.659627773800906</v>
      </c>
      <c r="R40" s="10">
        <v>0.011327546296296296</v>
      </c>
      <c r="S40" s="9">
        <f t="shared" si="24"/>
        <v>27.18498966038336</v>
      </c>
      <c r="T40" s="13">
        <f>60*(S40-27)</f>
        <v>11.09937962300151</v>
      </c>
      <c r="U40" s="18">
        <v>0.018878472222222224</v>
      </c>
      <c r="V40" s="6">
        <f t="shared" si="25"/>
        <v>54.36997932076672</v>
      </c>
      <c r="W40" s="23">
        <f>60*(V40-54)</f>
        <v>22.19875924600302</v>
      </c>
      <c r="X40" s="18">
        <v>0.03775694444444445</v>
      </c>
      <c r="Y40" s="6">
        <f t="shared" si="26"/>
        <v>108.73995864153343</v>
      </c>
      <c r="Z40" s="23">
        <f t="shared" si="27"/>
        <v>44.39751849200604</v>
      </c>
      <c r="AA40" s="24" t="s">
        <v>91</v>
      </c>
      <c r="AB40" s="6">
        <f t="shared" si="28"/>
        <v>229.4140625</v>
      </c>
      <c r="AC40" s="23">
        <f t="shared" si="29"/>
        <v>24.84375</v>
      </c>
      <c r="AD40" s="24" t="s">
        <v>176</v>
      </c>
      <c r="AE40" s="6">
        <f t="shared" si="30"/>
        <v>271.8498966038336</v>
      </c>
      <c r="AF40" s="13">
        <f t="shared" si="31"/>
        <v>50.99379623001596</v>
      </c>
      <c r="AG40" s="24" t="s">
        <v>265</v>
      </c>
      <c r="AI40" s="8">
        <f t="shared" si="18"/>
        <v>8.75</v>
      </c>
      <c r="AJ40" s="8">
        <f>45/60</f>
        <v>0.75</v>
      </c>
    </row>
    <row r="41" spans="1:36" ht="12.75">
      <c r="A41" s="39">
        <v>0.3680555555555556</v>
      </c>
      <c r="B41" s="10">
        <v>0.0038113425925925923</v>
      </c>
      <c r="C41" s="7">
        <v>0.3680555555555556</v>
      </c>
      <c r="D41" s="10">
        <v>0.011435185185185185</v>
      </c>
      <c r="E41" s="10">
        <v>0.01905787037037037</v>
      </c>
      <c r="F41" s="10">
        <v>0.03811689814814815</v>
      </c>
      <c r="G41" s="26" t="s">
        <v>92</v>
      </c>
      <c r="H41" s="26" t="s">
        <v>177</v>
      </c>
      <c r="I41" s="26" t="s">
        <v>266</v>
      </c>
      <c r="J41" s="40">
        <v>0.3680555555555556</v>
      </c>
      <c r="K41" s="2">
        <v>0.3680555555555556</v>
      </c>
      <c r="L41" s="21">
        <f t="shared" si="22"/>
        <v>5.488778864763117</v>
      </c>
      <c r="M41" s="23">
        <f t="shared" si="19"/>
        <v>29.326731885787023</v>
      </c>
      <c r="N41" s="18">
        <v>0.0038113425925925923</v>
      </c>
      <c r="O41" s="2">
        <v>0.3680555555555556</v>
      </c>
      <c r="P41" s="6">
        <f t="shared" si="23"/>
        <v>16.466336594289352</v>
      </c>
      <c r="Q41" s="13">
        <f t="shared" si="21"/>
        <v>27.980195657361122</v>
      </c>
      <c r="R41" s="10">
        <v>0.011435185185185185</v>
      </c>
      <c r="S41" s="9">
        <f t="shared" si="24"/>
        <v>27.443894323815584</v>
      </c>
      <c r="T41" s="13">
        <f>60*(S41-27)</f>
        <v>26.63365942893506</v>
      </c>
      <c r="U41" s="18">
        <v>0.01905787037037037</v>
      </c>
      <c r="V41" s="6">
        <f t="shared" si="25"/>
        <v>54.88778864763117</v>
      </c>
      <c r="W41" s="23">
        <f>60*(V41-54)</f>
        <v>53.26731885787012</v>
      </c>
      <c r="X41" s="18">
        <v>0.03811689814814815</v>
      </c>
      <c r="Y41" s="6">
        <f t="shared" si="26"/>
        <v>109.77557729526234</v>
      </c>
      <c r="Z41" s="23">
        <f t="shared" si="27"/>
        <v>46.534637715740246</v>
      </c>
      <c r="AA41" s="24" t="s">
        <v>92</v>
      </c>
      <c r="AB41" s="6">
        <f t="shared" si="28"/>
        <v>231.59895833333334</v>
      </c>
      <c r="AC41" s="23">
        <f t="shared" si="29"/>
        <v>35.93750000000057</v>
      </c>
      <c r="AD41" s="24" t="s">
        <v>177</v>
      </c>
      <c r="AE41" s="6">
        <f t="shared" si="30"/>
        <v>274.43894323815584</v>
      </c>
      <c r="AF41" s="13">
        <f t="shared" si="31"/>
        <v>26.336594289350614</v>
      </c>
      <c r="AG41" s="24" t="s">
        <v>266</v>
      </c>
      <c r="AI41" s="8">
        <f t="shared" si="18"/>
        <v>8.833333333333334</v>
      </c>
      <c r="AJ41" s="8">
        <f>50/60</f>
        <v>0.8333333333333334</v>
      </c>
    </row>
    <row r="42" spans="1:36" ht="12.75">
      <c r="A42" s="41">
        <v>0.37152777777777773</v>
      </c>
      <c r="B42" s="29">
        <v>0.0038472222222222224</v>
      </c>
      <c r="C42" s="28">
        <v>0.37152777777777773</v>
      </c>
      <c r="D42" s="29">
        <v>0.011542824074074073</v>
      </c>
      <c r="E42" s="29">
        <v>0.019238425925925926</v>
      </c>
      <c r="F42" s="29">
        <v>0.038475694444444444</v>
      </c>
      <c r="G42" s="25" t="s">
        <v>93</v>
      </c>
      <c r="H42" s="25" t="s">
        <v>178</v>
      </c>
      <c r="I42" s="25" t="s">
        <v>267</v>
      </c>
      <c r="J42" s="42">
        <v>0.37152777777777773</v>
      </c>
      <c r="K42" s="2">
        <v>0.37152777777777773</v>
      </c>
      <c r="L42" s="21">
        <f t="shared" si="22"/>
        <v>5.540559797449561</v>
      </c>
      <c r="M42" s="23">
        <f t="shared" si="19"/>
        <v>32.43358784697364</v>
      </c>
      <c r="N42" s="18">
        <v>0.0038472222222222224</v>
      </c>
      <c r="O42" s="2">
        <v>0.37152777777777773</v>
      </c>
      <c r="P42" s="6">
        <f t="shared" si="23"/>
        <v>16.621679392348682</v>
      </c>
      <c r="Q42" s="13">
        <f t="shared" si="21"/>
        <v>37.30076354092091</v>
      </c>
      <c r="R42" s="10">
        <v>0.011542824074074073</v>
      </c>
      <c r="S42" s="9">
        <f t="shared" si="24"/>
        <v>27.702798987247803</v>
      </c>
      <c r="T42" s="13">
        <f>60*(S42-27)</f>
        <v>42.167939234868186</v>
      </c>
      <c r="U42" s="18">
        <v>0.019238425925925926</v>
      </c>
      <c r="V42" s="6">
        <f t="shared" si="25"/>
        <v>55.405597974495606</v>
      </c>
      <c r="W42" s="23">
        <f>60*(V42-55)</f>
        <v>24.33587846973637</v>
      </c>
      <c r="X42" s="18">
        <v>0.038475694444444444</v>
      </c>
      <c r="Y42" s="6">
        <f t="shared" si="26"/>
        <v>110.81119594899121</v>
      </c>
      <c r="Z42" s="23">
        <f t="shared" si="27"/>
        <v>48.67175693947274</v>
      </c>
      <c r="AA42" s="24" t="s">
        <v>93</v>
      </c>
      <c r="AB42" s="6">
        <f t="shared" si="28"/>
        <v>233.78385416666666</v>
      </c>
      <c r="AC42" s="23">
        <f t="shared" si="29"/>
        <v>47.03124999999943</v>
      </c>
      <c r="AD42" s="24" t="s">
        <v>178</v>
      </c>
      <c r="AE42" s="6">
        <f t="shared" si="30"/>
        <v>277.02798987247803</v>
      </c>
      <c r="AF42" s="13">
        <f t="shared" si="31"/>
        <v>1.6793923486818585</v>
      </c>
      <c r="AG42" s="24" t="s">
        <v>267</v>
      </c>
      <c r="AI42" s="8">
        <f t="shared" si="18"/>
        <v>8.916666666666666</v>
      </c>
      <c r="AJ42" s="8">
        <f>55/60</f>
        <v>0.9166666666666666</v>
      </c>
    </row>
    <row r="43" spans="1:36" ht="12.75">
      <c r="A43" s="39">
        <v>0.375</v>
      </c>
      <c r="B43" s="10">
        <v>0.0038831018518518516</v>
      </c>
      <c r="C43" s="7">
        <v>0.375</v>
      </c>
      <c r="D43" s="10">
        <v>0.011650462962962965</v>
      </c>
      <c r="E43" s="10">
        <v>0.019417824074074073</v>
      </c>
      <c r="F43" s="10">
        <v>0.03883564814814815</v>
      </c>
      <c r="G43" s="26" t="s">
        <v>94</v>
      </c>
      <c r="H43" s="26" t="s">
        <v>179</v>
      </c>
      <c r="I43" s="26" t="s">
        <v>268</v>
      </c>
      <c r="J43" s="40">
        <v>0.375</v>
      </c>
      <c r="K43" s="2">
        <v>0.375</v>
      </c>
      <c r="L43" s="21">
        <f t="shared" si="22"/>
        <v>5.592340730136005</v>
      </c>
      <c r="M43" s="23">
        <f t="shared" si="19"/>
        <v>35.540443808160305</v>
      </c>
      <c r="N43" s="18">
        <v>0.0038831018518518516</v>
      </c>
      <c r="O43" s="2">
        <v>0.375</v>
      </c>
      <c r="P43" s="6">
        <f t="shared" si="23"/>
        <v>16.777022190408015</v>
      </c>
      <c r="Q43" s="13">
        <f t="shared" si="21"/>
        <v>46.621331424480914</v>
      </c>
      <c r="R43" s="10">
        <v>0.011650462962962965</v>
      </c>
      <c r="S43" s="9">
        <f t="shared" si="24"/>
        <v>27.961703650680025</v>
      </c>
      <c r="T43" s="13">
        <f>60*(S43-27)</f>
        <v>57.70221904080152</v>
      </c>
      <c r="U43" s="18">
        <v>0.019417824074074073</v>
      </c>
      <c r="V43" s="6">
        <f t="shared" si="25"/>
        <v>55.92340730136005</v>
      </c>
      <c r="W43" s="23">
        <f>60*(V43-55)</f>
        <v>55.40443808160305</v>
      </c>
      <c r="X43" s="18">
        <v>0.03883564814814815</v>
      </c>
      <c r="Y43" s="6">
        <f t="shared" si="26"/>
        <v>111.8468146027201</v>
      </c>
      <c r="Z43" s="23">
        <f t="shared" si="27"/>
        <v>50.808876163206094</v>
      </c>
      <c r="AA43" s="24" t="s">
        <v>94</v>
      </c>
      <c r="AB43" s="6">
        <f t="shared" si="28"/>
        <v>235.96875</v>
      </c>
      <c r="AC43" s="23">
        <f t="shared" si="29"/>
        <v>58.125</v>
      </c>
      <c r="AD43" s="24" t="s">
        <v>179</v>
      </c>
      <c r="AE43" s="6">
        <f t="shared" si="30"/>
        <v>279.6170365068003</v>
      </c>
      <c r="AF43" s="13">
        <f t="shared" si="31"/>
        <v>37.02219040801651</v>
      </c>
      <c r="AG43" s="24" t="s">
        <v>268</v>
      </c>
      <c r="AI43" s="8">
        <f aca="true" t="shared" si="32" ref="AI43:AI54">9+AJ43</f>
        <v>9</v>
      </c>
      <c r="AJ43" s="8">
        <v>0</v>
      </c>
    </row>
    <row r="44" spans="1:36" ht="12.75">
      <c r="A44" s="39">
        <v>0.37847222222222227</v>
      </c>
      <c r="B44" s="10">
        <v>0.003918981481481482</v>
      </c>
      <c r="C44" s="7">
        <v>0.37847222222222227</v>
      </c>
      <c r="D44" s="10">
        <v>0.011758101851851851</v>
      </c>
      <c r="E44" s="10">
        <v>0.01959722222222222</v>
      </c>
      <c r="F44" s="10">
        <v>0.039195601851851856</v>
      </c>
      <c r="G44" s="26" t="s">
        <v>95</v>
      </c>
      <c r="H44" s="26" t="s">
        <v>180</v>
      </c>
      <c r="I44" s="26" t="s">
        <v>269</v>
      </c>
      <c r="J44" s="40">
        <v>0.37847222222222227</v>
      </c>
      <c r="K44" s="2">
        <v>0.37847222222222227</v>
      </c>
      <c r="L44" s="21">
        <f t="shared" si="22"/>
        <v>5.64412166282245</v>
      </c>
      <c r="M44" s="23">
        <f t="shared" si="19"/>
        <v>38.64729976934703</v>
      </c>
      <c r="N44" s="18">
        <v>0.003918981481481482</v>
      </c>
      <c r="O44" s="2">
        <v>0.37847222222222227</v>
      </c>
      <c r="P44" s="6">
        <f t="shared" si="23"/>
        <v>16.932364988467352</v>
      </c>
      <c r="Q44" s="13">
        <f t="shared" si="21"/>
        <v>55.94189930804113</v>
      </c>
      <c r="R44" s="10">
        <v>0.011758101851851851</v>
      </c>
      <c r="S44" s="9">
        <f t="shared" si="24"/>
        <v>28.22060831411225</v>
      </c>
      <c r="T44" s="13">
        <f>60*(S44-28)</f>
        <v>13.236498846735074</v>
      </c>
      <c r="U44" s="18">
        <v>0.01959722222222222</v>
      </c>
      <c r="V44" s="6">
        <f t="shared" si="25"/>
        <v>56.4412166282245</v>
      </c>
      <c r="W44" s="23">
        <f>60*(V44-56)</f>
        <v>26.47299769347015</v>
      </c>
      <c r="X44" s="18">
        <v>0.039195601851851856</v>
      </c>
      <c r="Y44" s="6">
        <f t="shared" si="26"/>
        <v>112.882433256449</v>
      </c>
      <c r="Z44" s="23">
        <f t="shared" si="27"/>
        <v>52.9459953869403</v>
      </c>
      <c r="AA44" s="24" t="s">
        <v>95</v>
      </c>
      <c r="AB44" s="6">
        <f t="shared" si="28"/>
        <v>238.15364583333334</v>
      </c>
      <c r="AC44" s="23">
        <f t="shared" si="29"/>
        <v>9.218750000000568</v>
      </c>
      <c r="AD44" s="24" t="s">
        <v>180</v>
      </c>
      <c r="AE44" s="6">
        <f t="shared" si="30"/>
        <v>282.2060831411225</v>
      </c>
      <c r="AF44" s="13">
        <f t="shared" si="31"/>
        <v>12.364988467351168</v>
      </c>
      <c r="AG44" s="24" t="s">
        <v>269</v>
      </c>
      <c r="AI44" s="8">
        <f t="shared" si="32"/>
        <v>9.083333333333334</v>
      </c>
      <c r="AJ44" s="8">
        <f>5/60</f>
        <v>0.08333333333333333</v>
      </c>
    </row>
    <row r="45" spans="1:36" ht="12.75">
      <c r="A45" s="39">
        <v>0.3819444444444444</v>
      </c>
      <c r="B45" s="10">
        <v>0.0039560185185185184</v>
      </c>
      <c r="C45" s="7">
        <v>0.3819444444444444</v>
      </c>
      <c r="D45" s="10">
        <v>0.011866898148148149</v>
      </c>
      <c r="E45" s="10">
        <v>0.01977777777777778</v>
      </c>
      <c r="F45" s="10">
        <v>0.03955439814814815</v>
      </c>
      <c r="G45" s="26" t="s">
        <v>96</v>
      </c>
      <c r="H45" s="26" t="s">
        <v>181</v>
      </c>
      <c r="I45" s="26" t="s">
        <v>270</v>
      </c>
      <c r="J45" s="40">
        <v>0.3819444444444444</v>
      </c>
      <c r="K45" s="2">
        <v>0.3819444444444444</v>
      </c>
      <c r="L45" s="21">
        <f t="shared" si="22"/>
        <v>5.695902595508894</v>
      </c>
      <c r="M45" s="23">
        <f t="shared" si="19"/>
        <v>41.75415573053364</v>
      </c>
      <c r="N45" s="18">
        <v>0.0039560185185185184</v>
      </c>
      <c r="O45" s="2">
        <v>0.3819444444444444</v>
      </c>
      <c r="P45" s="6">
        <f t="shared" si="23"/>
        <v>17.087707786526682</v>
      </c>
      <c r="Q45" s="13">
        <f aca="true" t="shared" si="33" ref="Q45:Q50">(P45-17)*60</f>
        <v>5.262467191600919</v>
      </c>
      <c r="R45" s="10">
        <v>0.011866898148148149</v>
      </c>
      <c r="S45" s="9">
        <f t="shared" si="24"/>
        <v>28.47951297754447</v>
      </c>
      <c r="T45" s="13">
        <f>60*(S45-28)</f>
        <v>28.7707786526682</v>
      </c>
      <c r="U45" s="18">
        <v>0.01977777777777778</v>
      </c>
      <c r="V45" s="6">
        <f t="shared" si="25"/>
        <v>56.95902595508894</v>
      </c>
      <c r="W45" s="23">
        <f>60*(V45-56)</f>
        <v>57.5415573053364</v>
      </c>
      <c r="X45" s="18">
        <v>0.03955439814814815</v>
      </c>
      <c r="Y45" s="6">
        <f t="shared" si="26"/>
        <v>113.91805191017788</v>
      </c>
      <c r="Z45" s="23">
        <f t="shared" si="27"/>
        <v>55.083114610672794</v>
      </c>
      <c r="AA45" s="24" t="s">
        <v>96</v>
      </c>
      <c r="AB45" s="6">
        <f t="shared" si="28"/>
        <v>240.33854166666666</v>
      </c>
      <c r="AC45" s="23">
        <f t="shared" si="29"/>
        <v>20.31249999999943</v>
      </c>
      <c r="AD45" s="24" t="s">
        <v>181</v>
      </c>
      <c r="AE45" s="6">
        <f t="shared" si="30"/>
        <v>284.7951297754447</v>
      </c>
      <c r="AF45" s="13">
        <f t="shared" si="31"/>
        <v>47.70778652668241</v>
      </c>
      <c r="AG45" s="24" t="s">
        <v>270</v>
      </c>
      <c r="AI45" s="8">
        <f t="shared" si="32"/>
        <v>9.166666666666666</v>
      </c>
      <c r="AJ45" s="8">
        <f>1/6</f>
        <v>0.16666666666666666</v>
      </c>
    </row>
    <row r="46" spans="1:36" ht="12.75">
      <c r="A46" s="39">
        <v>0.3854166666666667</v>
      </c>
      <c r="B46" s="10">
        <v>0.003991898148148148</v>
      </c>
      <c r="C46" s="7">
        <v>0.3854166666666667</v>
      </c>
      <c r="D46" s="10">
        <v>0.011974537037037035</v>
      </c>
      <c r="E46" s="10">
        <v>0.019957175925925927</v>
      </c>
      <c r="F46" s="10">
        <v>0.039914351851851854</v>
      </c>
      <c r="G46" s="26" t="s">
        <v>97</v>
      </c>
      <c r="H46" s="26" t="s">
        <v>182</v>
      </c>
      <c r="I46" s="26" t="s">
        <v>271</v>
      </c>
      <c r="J46" s="40">
        <v>0.3854166666666667</v>
      </c>
      <c r="K46" s="2">
        <v>0.3854166666666667</v>
      </c>
      <c r="L46" s="21">
        <f t="shared" si="22"/>
        <v>5.7476835281953385</v>
      </c>
      <c r="M46" s="23">
        <f t="shared" si="19"/>
        <v>44.86101169172031</v>
      </c>
      <c r="N46" s="18">
        <v>0.003991898148148148</v>
      </c>
      <c r="O46" s="2">
        <v>0.3854166666666667</v>
      </c>
      <c r="P46" s="6">
        <f t="shared" si="23"/>
        <v>17.243050584586015</v>
      </c>
      <c r="Q46" s="13">
        <f t="shared" si="33"/>
        <v>14.583035075160922</v>
      </c>
      <c r="R46" s="10">
        <v>0.011974537037037035</v>
      </c>
      <c r="S46" s="9">
        <f t="shared" si="24"/>
        <v>28.738417640976696</v>
      </c>
      <c r="T46" s="13">
        <f>60*(S46-28)</f>
        <v>44.30505845860175</v>
      </c>
      <c r="U46" s="18">
        <v>0.019957175925925927</v>
      </c>
      <c r="V46" s="6">
        <f t="shared" si="25"/>
        <v>57.47683528195339</v>
      </c>
      <c r="W46" s="23">
        <f>60*(V46-57)</f>
        <v>28.6101169172035</v>
      </c>
      <c r="X46" s="18">
        <v>0.039914351851851854</v>
      </c>
      <c r="Y46" s="6">
        <f t="shared" si="26"/>
        <v>114.95367056390678</v>
      </c>
      <c r="Z46" s="23">
        <f t="shared" si="27"/>
        <v>57.220233834407</v>
      </c>
      <c r="AA46" s="24" t="s">
        <v>97</v>
      </c>
      <c r="AB46" s="6">
        <f t="shared" si="28"/>
        <v>242.5234375</v>
      </c>
      <c r="AC46" s="23">
        <f t="shared" si="29"/>
        <v>31.40625</v>
      </c>
      <c r="AD46" s="24" t="s">
        <v>182</v>
      </c>
      <c r="AE46" s="6">
        <f t="shared" si="30"/>
        <v>287.38417640976695</v>
      </c>
      <c r="AF46" s="13">
        <f t="shared" si="31"/>
        <v>23.050584586017067</v>
      </c>
      <c r="AG46" s="24" t="s">
        <v>271</v>
      </c>
      <c r="AI46" s="8">
        <f t="shared" si="32"/>
        <v>9.25</v>
      </c>
      <c r="AJ46" s="8">
        <f>15/60</f>
        <v>0.25</v>
      </c>
    </row>
    <row r="47" spans="1:36" ht="12.75">
      <c r="A47" s="39">
        <v>0.3888888888888889</v>
      </c>
      <c r="B47" s="10">
        <v>0.004027777777777778</v>
      </c>
      <c r="C47" s="7">
        <v>0.3888888888888889</v>
      </c>
      <c r="D47" s="10">
        <v>0.012082175925925927</v>
      </c>
      <c r="E47" s="10">
        <v>0.020136574074074074</v>
      </c>
      <c r="F47" s="10">
        <v>0.04027430555555555</v>
      </c>
      <c r="G47" s="26" t="s">
        <v>98</v>
      </c>
      <c r="H47" s="26" t="s">
        <v>183</v>
      </c>
      <c r="I47" s="26" t="s">
        <v>272</v>
      </c>
      <c r="J47" s="40">
        <v>0.3888888888888889</v>
      </c>
      <c r="K47" s="2">
        <v>0.3888888888888889</v>
      </c>
      <c r="L47" s="21">
        <f t="shared" si="22"/>
        <v>5.799464460881784</v>
      </c>
      <c r="M47" s="23">
        <f t="shared" si="19"/>
        <v>47.96786765290703</v>
      </c>
      <c r="N47" s="18">
        <v>0.004027777777777778</v>
      </c>
      <c r="O47" s="2">
        <v>0.3888888888888889</v>
      </c>
      <c r="P47" s="6">
        <f t="shared" si="23"/>
        <v>17.398393382645352</v>
      </c>
      <c r="Q47" s="13">
        <f t="shared" si="33"/>
        <v>23.903602958721137</v>
      </c>
      <c r="R47" s="10">
        <v>0.012082175925925927</v>
      </c>
      <c r="S47" s="9">
        <f t="shared" si="24"/>
        <v>28.997322304408918</v>
      </c>
      <c r="T47" s="13">
        <f>60*(S47-28)</f>
        <v>59.83933826453509</v>
      </c>
      <c r="U47" s="18">
        <v>0.020136574074074074</v>
      </c>
      <c r="V47" s="6">
        <f t="shared" si="25"/>
        <v>57.994644608817836</v>
      </c>
      <c r="W47" s="23">
        <f>60*(V47-57)</f>
        <v>59.678676529070174</v>
      </c>
      <c r="X47" s="18">
        <v>0.04027430555555555</v>
      </c>
      <c r="Y47" s="6">
        <f t="shared" si="26"/>
        <v>115.98928921763567</v>
      </c>
      <c r="Z47" s="23">
        <f t="shared" si="27"/>
        <v>59.35735305814035</v>
      </c>
      <c r="AA47" s="24" t="s">
        <v>98</v>
      </c>
      <c r="AB47" s="6">
        <f t="shared" si="28"/>
        <v>244.70833333333334</v>
      </c>
      <c r="AC47" s="23">
        <f t="shared" si="29"/>
        <v>42.50000000000057</v>
      </c>
      <c r="AD47" s="24" t="s">
        <v>183</v>
      </c>
      <c r="AE47" s="6">
        <f t="shared" si="30"/>
        <v>289.9732230440892</v>
      </c>
      <c r="AF47" s="13">
        <f t="shared" si="31"/>
        <v>58.39338264535172</v>
      </c>
      <c r="AG47" s="24" t="s">
        <v>272</v>
      </c>
      <c r="AI47" s="8">
        <f t="shared" si="32"/>
        <v>9.333333333333334</v>
      </c>
      <c r="AJ47" s="8">
        <f>20/60</f>
        <v>0.3333333333333333</v>
      </c>
    </row>
    <row r="48" spans="1:36" ht="12.75">
      <c r="A48" s="41">
        <v>0.3923611111111111</v>
      </c>
      <c r="B48" s="29">
        <v>0.004063657407407407</v>
      </c>
      <c r="C48" s="28">
        <v>0.3923611111111111</v>
      </c>
      <c r="D48" s="29">
        <v>0.012189814814814815</v>
      </c>
      <c r="E48" s="29">
        <v>0.02031712962962963</v>
      </c>
      <c r="F48" s="29">
        <v>0.04063310185185185</v>
      </c>
      <c r="G48" s="25" t="s">
        <v>99</v>
      </c>
      <c r="H48" s="25" t="s">
        <v>184</v>
      </c>
      <c r="I48" s="25" t="s">
        <v>273</v>
      </c>
      <c r="J48" s="42">
        <v>0.3923611111111111</v>
      </c>
      <c r="K48" s="2">
        <v>0.3923611111111111</v>
      </c>
      <c r="L48" s="21">
        <f t="shared" si="22"/>
        <v>5.851245393568227</v>
      </c>
      <c r="M48" s="23">
        <f t="shared" si="19"/>
        <v>51.07472361409364</v>
      </c>
      <c r="N48" s="18">
        <v>0.004063657407407407</v>
      </c>
      <c r="O48" s="2">
        <v>0.3923611111111111</v>
      </c>
      <c r="P48" s="6">
        <f t="shared" si="23"/>
        <v>17.553736180704682</v>
      </c>
      <c r="Q48" s="13">
        <f t="shared" si="33"/>
        <v>33.22417084228093</v>
      </c>
      <c r="R48" s="10">
        <v>0.012189814814814815</v>
      </c>
      <c r="S48" s="9">
        <f t="shared" si="24"/>
        <v>29.256226967841137</v>
      </c>
      <c r="T48" s="13">
        <f>60*(S48-29)</f>
        <v>15.373618070468211</v>
      </c>
      <c r="U48" s="18">
        <v>0.02031712962962963</v>
      </c>
      <c r="V48" s="6">
        <f t="shared" si="25"/>
        <v>58.512453935682274</v>
      </c>
      <c r="W48" s="23">
        <f>60*(V48-58)</f>
        <v>30.747236140936423</v>
      </c>
      <c r="X48" s="18">
        <v>0.04063310185185185</v>
      </c>
      <c r="Y48" s="6">
        <f t="shared" si="26"/>
        <v>117.02490787136455</v>
      </c>
      <c r="Z48" s="23">
        <f t="shared" si="27"/>
        <v>1.494472281872845</v>
      </c>
      <c r="AA48" s="24" t="s">
        <v>99</v>
      </c>
      <c r="AB48" s="6">
        <f t="shared" si="28"/>
        <v>246.89322916666666</v>
      </c>
      <c r="AC48" s="23">
        <f t="shared" si="29"/>
        <v>53.59374999999943</v>
      </c>
      <c r="AD48" s="24" t="s">
        <v>184</v>
      </c>
      <c r="AE48" s="6">
        <f t="shared" si="30"/>
        <v>292.5622696784114</v>
      </c>
      <c r="AF48" s="13">
        <f t="shared" si="31"/>
        <v>33.736180704682965</v>
      </c>
      <c r="AG48" s="24" t="s">
        <v>273</v>
      </c>
      <c r="AI48" s="8">
        <f t="shared" si="32"/>
        <v>9.416666666666666</v>
      </c>
      <c r="AJ48" s="8">
        <f>25/60</f>
        <v>0.4166666666666667</v>
      </c>
    </row>
    <row r="49" spans="1:36" ht="12.75">
      <c r="A49" s="39">
        <v>0.3958333333333333</v>
      </c>
      <c r="B49" s="10">
        <v>0.004099537037037037</v>
      </c>
      <c r="C49" s="7">
        <v>0.3958333333333333</v>
      </c>
      <c r="D49" s="10">
        <v>0.012297453703703705</v>
      </c>
      <c r="E49" s="10">
        <v>0.020496527777777777</v>
      </c>
      <c r="F49" s="10">
        <v>0.04099305555555555</v>
      </c>
      <c r="G49" s="26" t="s">
        <v>100</v>
      </c>
      <c r="H49" s="26" t="s">
        <v>185</v>
      </c>
      <c r="I49" s="26" t="s">
        <v>274</v>
      </c>
      <c r="J49" s="40">
        <v>0.3958333333333333</v>
      </c>
      <c r="K49" s="2">
        <v>0.3958333333333333</v>
      </c>
      <c r="L49" s="21">
        <f t="shared" si="22"/>
        <v>5.903026326254673</v>
      </c>
      <c r="M49" s="23">
        <f t="shared" si="19"/>
        <v>54.18157957528037</v>
      </c>
      <c r="N49" s="18">
        <v>0.004099537037037037</v>
      </c>
      <c r="O49" s="2">
        <v>0.3958333333333333</v>
      </c>
      <c r="P49" s="6">
        <f t="shared" si="23"/>
        <v>17.70907897876402</v>
      </c>
      <c r="Q49" s="13">
        <f t="shared" si="33"/>
        <v>42.54473872584114</v>
      </c>
      <c r="R49" s="10">
        <v>0.012297453703703705</v>
      </c>
      <c r="S49" s="9">
        <f t="shared" si="24"/>
        <v>29.515131631273363</v>
      </c>
      <c r="T49" s="13">
        <f>60*(S49-29)</f>
        <v>30.907897876401762</v>
      </c>
      <c r="U49" s="18">
        <v>0.020496527777777777</v>
      </c>
      <c r="V49" s="6">
        <f t="shared" si="25"/>
        <v>59.030263262546725</v>
      </c>
      <c r="W49" s="23">
        <f>60*(V49-59)</f>
        <v>1.815795752803524</v>
      </c>
      <c r="X49" s="18">
        <v>0.04099305555555555</v>
      </c>
      <c r="Y49" s="6">
        <f t="shared" si="26"/>
        <v>118.06052652509345</v>
      </c>
      <c r="Z49" s="23">
        <f t="shared" si="27"/>
        <v>3.631591505607048</v>
      </c>
      <c r="AA49" s="24" t="s">
        <v>100</v>
      </c>
      <c r="AB49" s="6">
        <f t="shared" si="28"/>
        <v>249.078125</v>
      </c>
      <c r="AC49" s="23">
        <f t="shared" si="29"/>
        <v>4.6875</v>
      </c>
      <c r="AD49" s="24" t="s">
        <v>185</v>
      </c>
      <c r="AE49" s="6">
        <f t="shared" si="30"/>
        <v>295.1513163127336</v>
      </c>
      <c r="AF49" s="13">
        <f t="shared" si="31"/>
        <v>9.07897876401762</v>
      </c>
      <c r="AG49" s="24" t="s">
        <v>274</v>
      </c>
      <c r="AI49" s="8">
        <f t="shared" si="32"/>
        <v>9.5</v>
      </c>
      <c r="AJ49" s="8">
        <f>3/6</f>
        <v>0.5</v>
      </c>
    </row>
    <row r="50" spans="1:36" ht="12.75">
      <c r="A50" s="39">
        <v>0.3993055555555556</v>
      </c>
      <c r="B50" s="10">
        <v>0.004135416666666667</v>
      </c>
      <c r="C50" s="7">
        <v>0.3993055555555556</v>
      </c>
      <c r="D50" s="10">
        <v>0.012406249999999999</v>
      </c>
      <c r="E50" s="10">
        <v>0.020675925925925927</v>
      </c>
      <c r="F50" s="10">
        <v>0.041353009259259256</v>
      </c>
      <c r="G50" s="26" t="s">
        <v>101</v>
      </c>
      <c r="H50" s="26" t="s">
        <v>186</v>
      </c>
      <c r="I50" s="26" t="s">
        <v>275</v>
      </c>
      <c r="J50" s="40">
        <v>0.3993055555555556</v>
      </c>
      <c r="K50" s="2">
        <v>0.3993055555555556</v>
      </c>
      <c r="L50" s="21">
        <f t="shared" si="22"/>
        <v>5.954807258941117</v>
      </c>
      <c r="M50" s="23">
        <f t="shared" si="19"/>
        <v>57.288435536467034</v>
      </c>
      <c r="N50" s="18">
        <v>0.004135416666666667</v>
      </c>
      <c r="O50" s="2">
        <v>0.3993055555555556</v>
      </c>
      <c r="P50" s="6">
        <f t="shared" si="23"/>
        <v>17.864421776823352</v>
      </c>
      <c r="Q50" s="13">
        <f t="shared" si="33"/>
        <v>51.865306609401145</v>
      </c>
      <c r="R50" s="10">
        <v>0.012406249999999999</v>
      </c>
      <c r="S50" s="9">
        <f t="shared" si="24"/>
        <v>29.77403629470559</v>
      </c>
      <c r="T50" s="13">
        <f>60*(S50-29)</f>
        <v>46.44217768233531</v>
      </c>
      <c r="U50" s="18">
        <v>0.020675925925925927</v>
      </c>
      <c r="V50" s="6">
        <f t="shared" si="25"/>
        <v>59.54807258941118</v>
      </c>
      <c r="W50" s="23">
        <f>60*(V50-59)</f>
        <v>32.884355364670625</v>
      </c>
      <c r="X50" s="18">
        <v>0.041353009259259256</v>
      </c>
      <c r="Y50" s="6">
        <f t="shared" si="26"/>
        <v>119.09614517882235</v>
      </c>
      <c r="Z50" s="23">
        <f t="shared" si="27"/>
        <v>5.768710729341251</v>
      </c>
      <c r="AA50" s="24" t="s">
        <v>101</v>
      </c>
      <c r="AB50" s="6">
        <f t="shared" si="28"/>
        <v>251.26302083333334</v>
      </c>
      <c r="AC50" s="23">
        <f t="shared" si="29"/>
        <v>15.781250000000568</v>
      </c>
      <c r="AD50" s="24" t="s">
        <v>186</v>
      </c>
      <c r="AE50" s="6">
        <f t="shared" si="30"/>
        <v>297.74036294705587</v>
      </c>
      <c r="AF50" s="13">
        <f t="shared" si="31"/>
        <v>44.421776823352275</v>
      </c>
      <c r="AG50" s="24" t="s">
        <v>275</v>
      </c>
      <c r="AI50" s="8">
        <f t="shared" si="32"/>
        <v>9.583333333333334</v>
      </c>
      <c r="AJ50" s="8">
        <f>35/60</f>
        <v>0.5833333333333334</v>
      </c>
    </row>
    <row r="51" spans="1:36" ht="12.75">
      <c r="A51" s="39">
        <v>0.40277777777777773</v>
      </c>
      <c r="B51" s="10">
        <v>0.004171296296296296</v>
      </c>
      <c r="C51" s="7">
        <v>0.40277777777777773</v>
      </c>
      <c r="D51" s="10">
        <v>0.012513888888888889</v>
      </c>
      <c r="E51" s="10">
        <v>0.02085648148148148</v>
      </c>
      <c r="F51" s="26" t="s">
        <v>23</v>
      </c>
      <c r="G51" s="26" t="s">
        <v>102</v>
      </c>
      <c r="H51" s="26" t="s">
        <v>187</v>
      </c>
      <c r="I51" s="26" t="s">
        <v>230</v>
      </c>
      <c r="J51" s="40">
        <v>0.40277777777777773</v>
      </c>
      <c r="K51" s="2">
        <v>0.40277777777777773</v>
      </c>
      <c r="L51" s="21">
        <f t="shared" si="22"/>
        <v>6.006588191627561</v>
      </c>
      <c r="M51" s="23">
        <f aca="true" t="shared" si="34" ref="M51:M70">60*(L51-6)</f>
        <v>0.3952914976536448</v>
      </c>
      <c r="N51" s="18">
        <v>0.004171296296296296</v>
      </c>
      <c r="O51" s="2">
        <v>0.40277777777777773</v>
      </c>
      <c r="P51" s="6">
        <f t="shared" si="23"/>
        <v>18.019764574882682</v>
      </c>
      <c r="Q51" s="13">
        <f aca="true" t="shared" si="35" ref="Q51:Q57">(P51-18)*60</f>
        <v>1.1858744929609344</v>
      </c>
      <c r="R51" s="10">
        <v>0.012513888888888889</v>
      </c>
      <c r="S51" s="9">
        <f t="shared" si="24"/>
        <v>30.032940958137804</v>
      </c>
      <c r="T51" s="13">
        <f>60*(S51-30)</f>
        <v>1.976457488268224</v>
      </c>
      <c r="U51" s="18">
        <v>0.02085648148148148</v>
      </c>
      <c r="V51" s="6">
        <f t="shared" si="25"/>
        <v>60.06588191627561</v>
      </c>
      <c r="W51" s="23">
        <f>60*(V51-60)</f>
        <v>3.952914976536448</v>
      </c>
      <c r="X51" s="24" t="s">
        <v>23</v>
      </c>
      <c r="Y51" s="6">
        <f t="shared" si="26"/>
        <v>120.13176383255121</v>
      </c>
      <c r="Z51" s="23">
        <f t="shared" si="27"/>
        <v>7.905829953072896</v>
      </c>
      <c r="AA51" s="24" t="s">
        <v>102</v>
      </c>
      <c r="AB51" s="6">
        <f t="shared" si="28"/>
        <v>253.44791666666666</v>
      </c>
      <c r="AC51" s="23">
        <f t="shared" si="29"/>
        <v>26.87499999999943</v>
      </c>
      <c r="AD51" s="24" t="s">
        <v>187</v>
      </c>
      <c r="AE51" s="6">
        <f t="shared" si="30"/>
        <v>300.32940958137806</v>
      </c>
      <c r="AF51" s="13">
        <f t="shared" si="31"/>
        <v>19.76457488268352</v>
      </c>
      <c r="AG51" s="24" t="s">
        <v>230</v>
      </c>
      <c r="AI51" s="8">
        <f t="shared" si="32"/>
        <v>9.666666666666666</v>
      </c>
      <c r="AJ51" s="8">
        <f>4/6</f>
        <v>0.6666666666666666</v>
      </c>
    </row>
    <row r="52" spans="1:36" ht="12.75">
      <c r="A52" s="39">
        <v>0.40625</v>
      </c>
      <c r="B52" s="10">
        <v>0.004207175925925926</v>
      </c>
      <c r="C52" s="7">
        <v>0.40625</v>
      </c>
      <c r="D52" s="10">
        <v>0.012621527777777778</v>
      </c>
      <c r="E52" s="10">
        <v>0.02103587962962963</v>
      </c>
      <c r="F52" s="26" t="s">
        <v>24</v>
      </c>
      <c r="G52" s="26" t="s">
        <v>103</v>
      </c>
      <c r="H52" s="26" t="s">
        <v>188</v>
      </c>
      <c r="I52" s="26" t="s">
        <v>276</v>
      </c>
      <c r="J52" s="40">
        <v>0.40625</v>
      </c>
      <c r="K52" s="2">
        <v>0.40625</v>
      </c>
      <c r="L52" s="21">
        <f t="shared" si="22"/>
        <v>6.058369124314006</v>
      </c>
      <c r="M52" s="23">
        <f t="shared" si="34"/>
        <v>3.5021474588403656</v>
      </c>
      <c r="N52" s="18">
        <v>0.004207175925925926</v>
      </c>
      <c r="O52" s="2">
        <v>0.40625</v>
      </c>
      <c r="P52" s="6">
        <f t="shared" si="23"/>
        <v>18.17510737294202</v>
      </c>
      <c r="Q52" s="13">
        <f t="shared" si="35"/>
        <v>10.50644237652115</v>
      </c>
      <c r="R52" s="10">
        <v>0.012621527777777778</v>
      </c>
      <c r="S52" s="9">
        <f t="shared" si="24"/>
        <v>30.29184562157003</v>
      </c>
      <c r="T52" s="13">
        <f>60*(S52-30)</f>
        <v>17.510737294201775</v>
      </c>
      <c r="U52" s="18">
        <v>0.02103587962962963</v>
      </c>
      <c r="V52" s="6">
        <f t="shared" si="25"/>
        <v>60.58369124314006</v>
      </c>
      <c r="W52" s="23">
        <f>60*(V52-60)</f>
        <v>35.02147458840355</v>
      </c>
      <c r="X52" s="24" t="s">
        <v>24</v>
      </c>
      <c r="Y52" s="6">
        <f t="shared" si="26"/>
        <v>121.16738248628012</v>
      </c>
      <c r="Z52" s="23">
        <f t="shared" si="27"/>
        <v>10.042949176807099</v>
      </c>
      <c r="AA52" s="24" t="s">
        <v>103</v>
      </c>
      <c r="AB52" s="6">
        <f t="shared" si="28"/>
        <v>255.6328125</v>
      </c>
      <c r="AC52" s="23">
        <f t="shared" si="29"/>
        <v>37.96875</v>
      </c>
      <c r="AD52" s="24" t="s">
        <v>188</v>
      </c>
      <c r="AE52" s="6">
        <f t="shared" si="30"/>
        <v>302.9184562157003</v>
      </c>
      <c r="AF52" s="13">
        <f t="shared" si="31"/>
        <v>55.10737294201817</v>
      </c>
      <c r="AG52" s="24" t="s">
        <v>276</v>
      </c>
      <c r="AI52" s="8">
        <f t="shared" si="32"/>
        <v>9.75</v>
      </c>
      <c r="AJ52" s="8">
        <f>45/60</f>
        <v>0.75</v>
      </c>
    </row>
    <row r="53" spans="1:36" ht="12.75">
      <c r="A53" s="39">
        <v>0.40972222222222227</v>
      </c>
      <c r="B53" s="10">
        <v>0.004243055555555556</v>
      </c>
      <c r="C53" s="7">
        <v>0.40972222222222227</v>
      </c>
      <c r="D53" s="10">
        <v>0.012729166666666666</v>
      </c>
      <c r="E53" s="10">
        <v>0.021215277777777777</v>
      </c>
      <c r="F53" s="26" t="s">
        <v>25</v>
      </c>
      <c r="G53" s="26" t="s">
        <v>104</v>
      </c>
      <c r="H53" s="26" t="s">
        <v>189</v>
      </c>
      <c r="I53" s="26" t="s">
        <v>277</v>
      </c>
      <c r="J53" s="40">
        <v>0.40972222222222227</v>
      </c>
      <c r="K53" s="2">
        <v>0.40972222222222227</v>
      </c>
      <c r="L53" s="21">
        <f t="shared" si="22"/>
        <v>6.1101500570004506</v>
      </c>
      <c r="M53" s="23">
        <f t="shared" si="34"/>
        <v>6.609003420027033</v>
      </c>
      <c r="N53" s="18">
        <v>0.004243055555555556</v>
      </c>
      <c r="O53" s="2">
        <v>0.40972222222222227</v>
      </c>
      <c r="P53" s="6">
        <f t="shared" si="23"/>
        <v>18.330450171001353</v>
      </c>
      <c r="Q53" s="13">
        <f t="shared" si="35"/>
        <v>19.827010260081153</v>
      </c>
      <c r="R53" s="10">
        <v>0.012729166666666666</v>
      </c>
      <c r="S53" s="9">
        <f t="shared" si="24"/>
        <v>30.550750285002255</v>
      </c>
      <c r="T53" s="13">
        <f>60*(S53-30)</f>
        <v>33.045017100135325</v>
      </c>
      <c r="U53" s="18">
        <v>0.021215277777777777</v>
      </c>
      <c r="V53" s="6">
        <f t="shared" si="25"/>
        <v>61.10150057000451</v>
      </c>
      <c r="W53" s="23">
        <f>60*(V53-61)</f>
        <v>6.090034200270651</v>
      </c>
      <c r="X53" s="24" t="s">
        <v>25</v>
      </c>
      <c r="Y53" s="6">
        <f t="shared" si="26"/>
        <v>122.20300114000902</v>
      </c>
      <c r="Z53" s="23">
        <f t="shared" si="27"/>
        <v>12.180068400541302</v>
      </c>
      <c r="AA53" s="24" t="s">
        <v>104</v>
      </c>
      <c r="AB53" s="6">
        <f t="shared" si="28"/>
        <v>257.81770833333337</v>
      </c>
      <c r="AC53" s="23">
        <f t="shared" si="29"/>
        <v>49.062500000002274</v>
      </c>
      <c r="AD53" s="24" t="s">
        <v>189</v>
      </c>
      <c r="AE53" s="6">
        <f t="shared" si="30"/>
        <v>305.50750285002255</v>
      </c>
      <c r="AF53" s="13">
        <f t="shared" si="31"/>
        <v>30.450171001352828</v>
      </c>
      <c r="AG53" s="24" t="s">
        <v>277</v>
      </c>
      <c r="AI53" s="8">
        <f t="shared" si="32"/>
        <v>9.833333333333334</v>
      </c>
      <c r="AJ53" s="8">
        <f>50/60</f>
        <v>0.8333333333333334</v>
      </c>
    </row>
    <row r="54" spans="1:36" ht="12.75">
      <c r="A54" s="41">
        <v>0.4131944444444444</v>
      </c>
      <c r="B54" s="29">
        <v>0.004278935185185185</v>
      </c>
      <c r="C54" s="28">
        <v>0.4131944444444444</v>
      </c>
      <c r="D54" s="29">
        <v>0.012836805555555554</v>
      </c>
      <c r="E54" s="29">
        <v>0.021395833333333333</v>
      </c>
      <c r="F54" s="25" t="s">
        <v>26</v>
      </c>
      <c r="G54" s="25" t="s">
        <v>105</v>
      </c>
      <c r="H54" s="25" t="s">
        <v>190</v>
      </c>
      <c r="I54" s="25" t="s">
        <v>278</v>
      </c>
      <c r="J54" s="42">
        <v>0.4131944444444444</v>
      </c>
      <c r="K54" s="2">
        <v>0.4131944444444444</v>
      </c>
      <c r="L54" s="21">
        <f t="shared" si="22"/>
        <v>6.161930989686894</v>
      </c>
      <c r="M54" s="23">
        <f t="shared" si="34"/>
        <v>9.715859381213647</v>
      </c>
      <c r="N54" s="18">
        <v>0.004278935185185185</v>
      </c>
      <c r="O54" s="2">
        <v>0.4131944444444444</v>
      </c>
      <c r="P54" s="6">
        <f t="shared" si="23"/>
        <v>18.485792969060682</v>
      </c>
      <c r="Q54" s="13">
        <f t="shared" si="35"/>
        <v>29.147578143640942</v>
      </c>
      <c r="R54" s="10">
        <v>0.012836805555555554</v>
      </c>
      <c r="S54" s="9">
        <f t="shared" si="24"/>
        <v>30.80965494843447</v>
      </c>
      <c r="T54" s="13">
        <f>60*(S54-30)</f>
        <v>48.57929690606824</v>
      </c>
      <c r="U54" s="18">
        <v>0.021395833333333333</v>
      </c>
      <c r="V54" s="6">
        <f t="shared" si="25"/>
        <v>61.61930989686894</v>
      </c>
      <c r="W54" s="23">
        <f>60*(V54-61)</f>
        <v>37.15859381213647</v>
      </c>
      <c r="X54" s="24" t="s">
        <v>26</v>
      </c>
      <c r="Y54" s="6">
        <f t="shared" si="26"/>
        <v>123.23861979373788</v>
      </c>
      <c r="Z54" s="23">
        <f t="shared" si="27"/>
        <v>14.317187624272947</v>
      </c>
      <c r="AA54" s="24" t="s">
        <v>105</v>
      </c>
      <c r="AB54" s="6">
        <f t="shared" si="28"/>
        <v>260.00260416666663</v>
      </c>
      <c r="AC54" s="23">
        <f t="shared" si="29"/>
        <v>0.15624999999772626</v>
      </c>
      <c r="AD54" s="24" t="s">
        <v>190</v>
      </c>
      <c r="AE54" s="6">
        <f t="shared" si="30"/>
        <v>308.09654948434473</v>
      </c>
      <c r="AF54" s="13">
        <f t="shared" si="31"/>
        <v>5.792969060684072</v>
      </c>
      <c r="AG54" s="24" t="s">
        <v>278</v>
      </c>
      <c r="AI54" s="8">
        <f t="shared" si="32"/>
        <v>9.916666666666666</v>
      </c>
      <c r="AJ54" s="8">
        <f>55/60</f>
        <v>0.9166666666666666</v>
      </c>
    </row>
    <row r="55" spans="1:36" ht="12.75">
      <c r="A55" s="39">
        <v>0.4166666666666667</v>
      </c>
      <c r="B55" s="10">
        <v>0.004314814814814815</v>
      </c>
      <c r="C55" s="7">
        <v>0.4166666666666667</v>
      </c>
      <c r="D55" s="10">
        <v>0.012945601851851852</v>
      </c>
      <c r="E55" s="10">
        <v>0.02157523148148148</v>
      </c>
      <c r="F55" s="26" t="s">
        <v>27</v>
      </c>
      <c r="G55" s="26" t="s">
        <v>106</v>
      </c>
      <c r="H55" s="26" t="s">
        <v>191</v>
      </c>
      <c r="I55" s="26" t="s">
        <v>279</v>
      </c>
      <c r="J55" s="40">
        <v>0.4166666666666667</v>
      </c>
      <c r="K55" s="2">
        <v>0.4166666666666667</v>
      </c>
      <c r="L55" s="21">
        <f t="shared" si="22"/>
        <v>6.2137119223733395</v>
      </c>
      <c r="M55" s="23">
        <f t="shared" si="34"/>
        <v>12.822715342400368</v>
      </c>
      <c r="N55" s="18">
        <v>0.004314814814814815</v>
      </c>
      <c r="O55" s="2">
        <v>0.4166666666666667</v>
      </c>
      <c r="P55" s="6">
        <f t="shared" si="23"/>
        <v>18.64113576712002</v>
      </c>
      <c r="Q55" s="13">
        <f t="shared" si="35"/>
        <v>38.46814602720116</v>
      </c>
      <c r="R55" s="10">
        <v>0.012945601851851852</v>
      </c>
      <c r="S55" s="9">
        <f t="shared" si="24"/>
        <v>31.068559611866696</v>
      </c>
      <c r="T55" s="13">
        <f>60*(S55-31)</f>
        <v>4.113576712001787</v>
      </c>
      <c r="U55" s="18">
        <v>0.02157523148148148</v>
      </c>
      <c r="V55" s="6">
        <f t="shared" si="25"/>
        <v>62.13711922373339</v>
      </c>
      <c r="W55" s="23">
        <f>60*(V55-62)</f>
        <v>8.227153424003575</v>
      </c>
      <c r="X55" s="24" t="s">
        <v>27</v>
      </c>
      <c r="Y55" s="6">
        <f t="shared" si="26"/>
        <v>124.27423844746679</v>
      </c>
      <c r="Z55" s="23">
        <f t="shared" si="27"/>
        <v>16.45430684800715</v>
      </c>
      <c r="AA55" s="24" t="s">
        <v>106</v>
      </c>
      <c r="AB55" s="6">
        <f t="shared" si="28"/>
        <v>262.1875</v>
      </c>
      <c r="AC55" s="23">
        <f t="shared" si="29"/>
        <v>11.25</v>
      </c>
      <c r="AD55" s="24" t="s">
        <v>191</v>
      </c>
      <c r="AE55" s="6">
        <f t="shared" si="30"/>
        <v>310.685596118667</v>
      </c>
      <c r="AF55" s="13">
        <f t="shared" si="31"/>
        <v>41.13576712001873</v>
      </c>
      <c r="AG55" s="24" t="s">
        <v>279</v>
      </c>
      <c r="AI55" s="8">
        <f aca="true" t="shared" si="36" ref="AI55:AI66">10+AJ55</f>
        <v>10</v>
      </c>
      <c r="AJ55" s="8">
        <v>0</v>
      </c>
    </row>
    <row r="56" spans="1:36" ht="12.75">
      <c r="A56" s="39">
        <v>0.4201388888888889</v>
      </c>
      <c r="B56" s="10">
        <v>0.004350694444444444</v>
      </c>
      <c r="C56" s="7">
        <v>0.4201388888888889</v>
      </c>
      <c r="D56" s="10">
        <v>0.01305324074074074</v>
      </c>
      <c r="E56" s="10">
        <v>0.021754629629629627</v>
      </c>
      <c r="F56" s="26" t="s">
        <v>28</v>
      </c>
      <c r="G56" s="26" t="s">
        <v>107</v>
      </c>
      <c r="H56" s="26" t="s">
        <v>192</v>
      </c>
      <c r="I56" s="26" t="s">
        <v>280</v>
      </c>
      <c r="J56" s="40">
        <v>0.4201388888888889</v>
      </c>
      <c r="K56" s="2">
        <v>0.4201388888888889</v>
      </c>
      <c r="L56" s="21">
        <f t="shared" si="22"/>
        <v>6.265492855059784</v>
      </c>
      <c r="M56" s="23">
        <f t="shared" si="34"/>
        <v>15.929571303587036</v>
      </c>
      <c r="N56" s="18">
        <v>0.004350694444444444</v>
      </c>
      <c r="O56" s="2">
        <v>0.4201388888888889</v>
      </c>
      <c r="P56" s="6">
        <f t="shared" si="23"/>
        <v>18.796478565179353</v>
      </c>
      <c r="Q56" s="13">
        <f t="shared" si="35"/>
        <v>47.78871391076116</v>
      </c>
      <c r="R56" s="10">
        <v>0.01305324074074074</v>
      </c>
      <c r="S56" s="9">
        <f t="shared" si="24"/>
        <v>31.327464275298922</v>
      </c>
      <c r="T56" s="13">
        <f>60*(S56-31)</f>
        <v>19.647856517935338</v>
      </c>
      <c r="U56" s="18">
        <v>0.021754629629629627</v>
      </c>
      <c r="V56" s="6">
        <f t="shared" si="25"/>
        <v>62.654928550597845</v>
      </c>
      <c r="W56" s="23">
        <f>60*(V56-62)</f>
        <v>39.295713035870676</v>
      </c>
      <c r="X56" s="24" t="s">
        <v>28</v>
      </c>
      <c r="Y56" s="6">
        <f t="shared" si="26"/>
        <v>125.30985710119569</v>
      </c>
      <c r="Z56" s="23">
        <f t="shared" si="27"/>
        <v>18.591426071741353</v>
      </c>
      <c r="AA56" s="24" t="s">
        <v>107</v>
      </c>
      <c r="AB56" s="6">
        <f t="shared" si="28"/>
        <v>264.37239583333337</v>
      </c>
      <c r="AC56" s="23">
        <f t="shared" si="29"/>
        <v>22.343750000002274</v>
      </c>
      <c r="AD56" s="24" t="s">
        <v>192</v>
      </c>
      <c r="AE56" s="6">
        <f t="shared" si="30"/>
        <v>313.2746427529892</v>
      </c>
      <c r="AF56" s="13">
        <f t="shared" si="31"/>
        <v>16.47856517935338</v>
      </c>
      <c r="AG56" s="24" t="s">
        <v>280</v>
      </c>
      <c r="AI56" s="8">
        <f t="shared" si="36"/>
        <v>10.083333333333334</v>
      </c>
      <c r="AJ56" s="8">
        <f>5/60</f>
        <v>0.08333333333333333</v>
      </c>
    </row>
    <row r="57" spans="1:36" ht="12.75">
      <c r="A57" s="39">
        <v>0.4236111111111111</v>
      </c>
      <c r="B57" s="10">
        <v>0.004386574074074074</v>
      </c>
      <c r="C57" s="7">
        <v>0.4236111111111111</v>
      </c>
      <c r="D57" s="10">
        <v>0.013160879629629632</v>
      </c>
      <c r="E57" s="10">
        <v>0.021935185185185183</v>
      </c>
      <c r="F57" s="26" t="s">
        <v>29</v>
      </c>
      <c r="G57" s="26" t="s">
        <v>108</v>
      </c>
      <c r="H57" s="26" t="s">
        <v>193</v>
      </c>
      <c r="I57" s="26" t="s">
        <v>281</v>
      </c>
      <c r="J57" s="40">
        <v>0.4236111111111111</v>
      </c>
      <c r="K57" s="2">
        <v>0.4236111111111111</v>
      </c>
      <c r="L57" s="21">
        <f t="shared" si="22"/>
        <v>6.3172737877462275</v>
      </c>
      <c r="M57" s="23">
        <f t="shared" si="34"/>
        <v>19.03642726477365</v>
      </c>
      <c r="N57" s="18">
        <v>0.004386574074074074</v>
      </c>
      <c r="O57" s="2">
        <v>0.4236111111111111</v>
      </c>
      <c r="P57" s="6">
        <f t="shared" si="23"/>
        <v>18.951821363238686</v>
      </c>
      <c r="Q57" s="13">
        <f t="shared" si="35"/>
        <v>57.10928179432116</v>
      </c>
      <c r="R57" s="10">
        <v>0.013160879629629632</v>
      </c>
      <c r="S57" s="9">
        <f t="shared" si="24"/>
        <v>31.586368938731137</v>
      </c>
      <c r="T57" s="13">
        <f>60*(S57-31)</f>
        <v>35.18213632386825</v>
      </c>
      <c r="U57" s="18">
        <v>0.021935185185185183</v>
      </c>
      <c r="V57" s="6">
        <f t="shared" si="25"/>
        <v>63.172737877462275</v>
      </c>
      <c r="W57" s="23">
        <f>60*(V57-63)</f>
        <v>10.364272647736499</v>
      </c>
      <c r="X57" s="24" t="s">
        <v>29</v>
      </c>
      <c r="Y57" s="6">
        <f t="shared" si="26"/>
        <v>126.34547575492455</v>
      </c>
      <c r="Z57" s="23">
        <f t="shared" si="27"/>
        <v>20.728545295472998</v>
      </c>
      <c r="AA57" s="24" t="s">
        <v>108</v>
      </c>
      <c r="AB57" s="6">
        <f t="shared" si="28"/>
        <v>266.55729166666663</v>
      </c>
      <c r="AC57" s="23">
        <f t="shared" si="29"/>
        <v>33.437499999997726</v>
      </c>
      <c r="AD57" s="24" t="s">
        <v>193</v>
      </c>
      <c r="AE57" s="6">
        <f t="shared" si="30"/>
        <v>315.8636893873114</v>
      </c>
      <c r="AF57" s="13">
        <f t="shared" si="31"/>
        <v>51.821363238684626</v>
      </c>
      <c r="AG57" s="24" t="s">
        <v>281</v>
      </c>
      <c r="AI57" s="8">
        <f t="shared" si="36"/>
        <v>10.166666666666666</v>
      </c>
      <c r="AJ57" s="8">
        <f>1/6</f>
        <v>0.16666666666666666</v>
      </c>
    </row>
    <row r="58" spans="1:36" ht="12.75">
      <c r="A58" s="39">
        <v>0.4270833333333333</v>
      </c>
      <c r="B58" s="10">
        <v>0.004422453703703704</v>
      </c>
      <c r="C58" s="7">
        <v>0.4270833333333333</v>
      </c>
      <c r="D58" s="10">
        <v>0.013268518518518518</v>
      </c>
      <c r="E58" s="10">
        <v>0.02211458333333333</v>
      </c>
      <c r="F58" s="26" t="s">
        <v>30</v>
      </c>
      <c r="G58" s="26" t="s">
        <v>109</v>
      </c>
      <c r="H58" s="26" t="s">
        <v>194</v>
      </c>
      <c r="I58" s="26" t="s">
        <v>282</v>
      </c>
      <c r="J58" s="40">
        <v>0.4270833333333333</v>
      </c>
      <c r="K58" s="2">
        <v>0.4270833333333333</v>
      </c>
      <c r="L58" s="21">
        <f t="shared" si="22"/>
        <v>6.369054720432673</v>
      </c>
      <c r="M58" s="23">
        <f t="shared" si="34"/>
        <v>22.14328322596037</v>
      </c>
      <c r="N58" s="18">
        <v>0.004422453703703704</v>
      </c>
      <c r="O58" s="2">
        <v>0.4270833333333333</v>
      </c>
      <c r="P58" s="6">
        <f t="shared" si="23"/>
        <v>19.10716416129802</v>
      </c>
      <c r="Q58" s="13">
        <f aca="true" t="shared" si="37" ref="Q58:Q63">(P58-19)*60</f>
        <v>6.429849677881165</v>
      </c>
      <c r="R58" s="10">
        <v>0.013268518518518518</v>
      </c>
      <c r="S58" s="9">
        <f t="shared" si="24"/>
        <v>31.845273602163363</v>
      </c>
      <c r="T58" s="13">
        <f>60*(S58-31)</f>
        <v>50.7164161298018</v>
      </c>
      <c r="U58" s="18">
        <v>0.02211458333333333</v>
      </c>
      <c r="V58" s="6">
        <f t="shared" si="25"/>
        <v>63.69054720432673</v>
      </c>
      <c r="W58" s="23">
        <f>60*(V58-63)</f>
        <v>41.4328322596036</v>
      </c>
      <c r="X58" s="24" t="s">
        <v>30</v>
      </c>
      <c r="Y58" s="6">
        <f t="shared" si="26"/>
        <v>127.38109440865345</v>
      </c>
      <c r="Z58" s="23">
        <f t="shared" si="27"/>
        <v>22.8656645192072</v>
      </c>
      <c r="AA58" s="24" t="s">
        <v>109</v>
      </c>
      <c r="AB58" s="6">
        <f t="shared" si="28"/>
        <v>268.7421875</v>
      </c>
      <c r="AC58" s="23">
        <f t="shared" si="29"/>
        <v>44.53125</v>
      </c>
      <c r="AD58" s="24" t="s">
        <v>194</v>
      </c>
      <c r="AE58" s="6">
        <f t="shared" si="30"/>
        <v>318.45273602163365</v>
      </c>
      <c r="AF58" s="13">
        <f t="shared" si="31"/>
        <v>27.16416129801928</v>
      </c>
      <c r="AG58" s="24" t="s">
        <v>282</v>
      </c>
      <c r="AI58" s="8">
        <f t="shared" si="36"/>
        <v>10.25</v>
      </c>
      <c r="AJ58" s="8">
        <f>15/60</f>
        <v>0.25</v>
      </c>
    </row>
    <row r="59" spans="1:36" ht="12.75">
      <c r="A59" s="39">
        <v>0.4305555555555556</v>
      </c>
      <c r="B59" s="10">
        <v>0.00445949074074074</v>
      </c>
      <c r="C59" s="7">
        <v>0.4305555555555556</v>
      </c>
      <c r="D59" s="10">
        <v>0.013377314814814814</v>
      </c>
      <c r="E59" s="10">
        <v>0.022295138888888885</v>
      </c>
      <c r="F59" s="26" t="s">
        <v>31</v>
      </c>
      <c r="G59" s="26" t="s">
        <v>110</v>
      </c>
      <c r="H59" s="26" t="s">
        <v>195</v>
      </c>
      <c r="I59" s="26" t="s">
        <v>283</v>
      </c>
      <c r="J59" s="40">
        <v>0.4305555555555556</v>
      </c>
      <c r="K59" s="2">
        <v>0.4305555555555556</v>
      </c>
      <c r="L59" s="21">
        <f t="shared" si="22"/>
        <v>6.420835653119117</v>
      </c>
      <c r="M59" s="23">
        <f t="shared" si="34"/>
        <v>25.250139187147038</v>
      </c>
      <c r="N59" s="18">
        <v>0.00445949074074074</v>
      </c>
      <c r="O59" s="2">
        <v>0.4305555555555556</v>
      </c>
      <c r="P59" s="6">
        <f t="shared" si="23"/>
        <v>19.262506959357353</v>
      </c>
      <c r="Q59" s="13">
        <f t="shared" si="37"/>
        <v>15.750417561441168</v>
      </c>
      <c r="R59" s="10">
        <v>0.013377314814814814</v>
      </c>
      <c r="S59" s="9">
        <f t="shared" si="24"/>
        <v>32.10417826559559</v>
      </c>
      <c r="T59" s="13">
        <f>60*(S59-32)</f>
        <v>6.250695935735564</v>
      </c>
      <c r="U59" s="18">
        <v>0.022295138888888885</v>
      </c>
      <c r="V59" s="6">
        <f t="shared" si="25"/>
        <v>64.20835653119119</v>
      </c>
      <c r="W59" s="23">
        <f>60*(V59-64)</f>
        <v>12.501391871471128</v>
      </c>
      <c r="X59" s="24" t="s">
        <v>31</v>
      </c>
      <c r="Y59" s="6">
        <f t="shared" si="26"/>
        <v>128.41671306238237</v>
      </c>
      <c r="Z59" s="23">
        <f t="shared" si="27"/>
        <v>25.002783742942256</v>
      </c>
      <c r="AA59" s="24" t="s">
        <v>110</v>
      </c>
      <c r="AB59" s="6">
        <f t="shared" si="28"/>
        <v>270.92708333333337</v>
      </c>
      <c r="AC59" s="23">
        <f t="shared" si="29"/>
        <v>55.625000000002274</v>
      </c>
      <c r="AD59" s="24" t="s">
        <v>195</v>
      </c>
      <c r="AE59" s="6">
        <f t="shared" si="30"/>
        <v>321.0417826559559</v>
      </c>
      <c r="AF59" s="13">
        <f t="shared" si="31"/>
        <v>2.506959357353935</v>
      </c>
      <c r="AG59" s="24" t="s">
        <v>283</v>
      </c>
      <c r="AI59" s="8">
        <f t="shared" si="36"/>
        <v>10.333333333333334</v>
      </c>
      <c r="AJ59" s="8">
        <f>20/60</f>
        <v>0.3333333333333333</v>
      </c>
    </row>
    <row r="60" spans="1:36" ht="12.75">
      <c r="A60" s="41">
        <v>0.43402777777777773</v>
      </c>
      <c r="B60" s="29">
        <v>0.004495370370370371</v>
      </c>
      <c r="C60" s="28">
        <v>0.43402777777777773</v>
      </c>
      <c r="D60" s="29">
        <v>0.013484953703703702</v>
      </c>
      <c r="E60" s="29">
        <v>0.02247453703703704</v>
      </c>
      <c r="F60" s="25" t="s">
        <v>32</v>
      </c>
      <c r="G60" s="25" t="s">
        <v>111</v>
      </c>
      <c r="H60" s="25" t="s">
        <v>196</v>
      </c>
      <c r="I60" s="25" t="s">
        <v>284</v>
      </c>
      <c r="J60" s="42">
        <v>0.43402777777777773</v>
      </c>
      <c r="K60" s="2">
        <v>0.43402777777777773</v>
      </c>
      <c r="L60" s="21">
        <f t="shared" si="22"/>
        <v>6.472616585805562</v>
      </c>
      <c r="M60" s="23">
        <f t="shared" si="34"/>
        <v>28.356995148333706</v>
      </c>
      <c r="N60" s="18">
        <v>0.004495370370370371</v>
      </c>
      <c r="O60" s="2">
        <v>0.43402777777777773</v>
      </c>
      <c r="P60" s="6">
        <f t="shared" si="23"/>
        <v>19.417849757416686</v>
      </c>
      <c r="Q60" s="13">
        <f t="shared" si="37"/>
        <v>25.07098544500117</v>
      </c>
      <c r="R60" s="10">
        <v>0.013484953703703702</v>
      </c>
      <c r="S60" s="9">
        <f t="shared" si="24"/>
        <v>32.363082929027804</v>
      </c>
      <c r="T60" s="13">
        <f>60*(S60-32)</f>
        <v>21.784975741668262</v>
      </c>
      <c r="U60" s="18">
        <v>0.02247453703703704</v>
      </c>
      <c r="V60" s="6">
        <f t="shared" si="25"/>
        <v>64.72616585805561</v>
      </c>
      <c r="W60" s="23">
        <f>60*(V60-64)</f>
        <v>43.569951483336524</v>
      </c>
      <c r="X60" s="24" t="s">
        <v>32</v>
      </c>
      <c r="Y60" s="6">
        <f t="shared" si="26"/>
        <v>129.45233171611122</v>
      </c>
      <c r="Z60" s="23">
        <f t="shared" si="27"/>
        <v>27.13990296667305</v>
      </c>
      <c r="AA60" s="24" t="s">
        <v>111</v>
      </c>
      <c r="AB60" s="6">
        <f t="shared" si="28"/>
        <v>273.11197916666663</v>
      </c>
      <c r="AC60" s="23">
        <f t="shared" si="29"/>
        <v>6.718749999997726</v>
      </c>
      <c r="AD60" s="24" t="s">
        <v>196</v>
      </c>
      <c r="AE60" s="6">
        <f t="shared" si="30"/>
        <v>323.63082929027803</v>
      </c>
      <c r="AF60" s="13">
        <f t="shared" si="31"/>
        <v>37.84975741668177</v>
      </c>
      <c r="AG60" s="24" t="s">
        <v>284</v>
      </c>
      <c r="AI60" s="8">
        <f t="shared" si="36"/>
        <v>10.416666666666666</v>
      </c>
      <c r="AJ60" s="8">
        <f>25/60</f>
        <v>0.4166666666666667</v>
      </c>
    </row>
    <row r="61" spans="1:36" ht="12.75">
      <c r="A61" s="39">
        <v>0.4375</v>
      </c>
      <c r="B61" s="10">
        <v>0.00453125</v>
      </c>
      <c r="C61" s="7">
        <v>0.4375</v>
      </c>
      <c r="D61" s="10">
        <v>0.013592592592592594</v>
      </c>
      <c r="E61" s="10">
        <v>0.022653935185185187</v>
      </c>
      <c r="F61" s="26" t="s">
        <v>33</v>
      </c>
      <c r="G61" s="26" t="s">
        <v>112</v>
      </c>
      <c r="H61" s="26" t="s">
        <v>197</v>
      </c>
      <c r="I61" s="26" t="s">
        <v>285</v>
      </c>
      <c r="J61" s="40">
        <v>0.4375</v>
      </c>
      <c r="K61" s="2">
        <v>0.4375</v>
      </c>
      <c r="L61" s="21">
        <f t="shared" si="22"/>
        <v>6.524397518492006</v>
      </c>
      <c r="M61" s="23">
        <f t="shared" si="34"/>
        <v>31.463851109520373</v>
      </c>
      <c r="N61" s="18">
        <v>0.00453125</v>
      </c>
      <c r="O61" s="2">
        <v>0.4375</v>
      </c>
      <c r="P61" s="6">
        <f t="shared" si="23"/>
        <v>19.57319255547602</v>
      </c>
      <c r="Q61" s="13">
        <f t="shared" si="37"/>
        <v>34.39155332856117</v>
      </c>
      <c r="R61" s="10">
        <v>0.013592592592592594</v>
      </c>
      <c r="S61" s="9">
        <f t="shared" si="24"/>
        <v>32.62198759246003</v>
      </c>
      <c r="T61" s="13">
        <f>60*(S61-32)</f>
        <v>37.31925554760181</v>
      </c>
      <c r="U61" s="18">
        <v>0.022653935185185187</v>
      </c>
      <c r="V61" s="6">
        <f t="shared" si="25"/>
        <v>65.24397518492006</v>
      </c>
      <c r="W61" s="23">
        <f>60*(V61-65)</f>
        <v>14.638511095203626</v>
      </c>
      <c r="X61" s="24" t="s">
        <v>33</v>
      </c>
      <c r="Y61" s="6">
        <f t="shared" si="26"/>
        <v>130.48795036984012</v>
      </c>
      <c r="Z61" s="23">
        <f t="shared" si="27"/>
        <v>29.27702219040725</v>
      </c>
      <c r="AA61" s="24" t="s">
        <v>112</v>
      </c>
      <c r="AB61" s="6">
        <f t="shared" si="28"/>
        <v>275.296875</v>
      </c>
      <c r="AC61" s="23">
        <f t="shared" si="29"/>
        <v>17.8125</v>
      </c>
      <c r="AD61" s="24" t="s">
        <v>197</v>
      </c>
      <c r="AE61" s="6">
        <f t="shared" si="30"/>
        <v>326.21987592460033</v>
      </c>
      <c r="AF61" s="13">
        <f t="shared" si="31"/>
        <v>13.192555476019834</v>
      </c>
      <c r="AG61" s="24" t="s">
        <v>285</v>
      </c>
      <c r="AI61" s="8">
        <f t="shared" si="36"/>
        <v>10.5</v>
      </c>
      <c r="AJ61" s="8">
        <f>3/6</f>
        <v>0.5</v>
      </c>
    </row>
    <row r="62" spans="1:36" ht="12.75">
      <c r="A62" s="39">
        <v>0.44097222222222227</v>
      </c>
      <c r="B62" s="10">
        <v>0.004567129629629629</v>
      </c>
      <c r="C62" s="7">
        <v>0.44097222222222227</v>
      </c>
      <c r="D62" s="10">
        <v>0.01370023148148148</v>
      </c>
      <c r="E62" s="10">
        <v>0.022834490740740742</v>
      </c>
      <c r="F62" s="26" t="s">
        <v>34</v>
      </c>
      <c r="G62" s="26" t="s">
        <v>113</v>
      </c>
      <c r="H62" s="26" t="s">
        <v>198</v>
      </c>
      <c r="I62" s="26" t="s">
        <v>286</v>
      </c>
      <c r="J62" s="40">
        <v>0.44097222222222227</v>
      </c>
      <c r="K62" s="2">
        <v>0.44097222222222227</v>
      </c>
      <c r="L62" s="21">
        <f t="shared" si="22"/>
        <v>6.576178451178451</v>
      </c>
      <c r="M62" s="23">
        <f t="shared" si="34"/>
        <v>34.570707070707044</v>
      </c>
      <c r="N62" s="18">
        <v>0.004567129629629629</v>
      </c>
      <c r="O62" s="2">
        <v>0.44097222222222227</v>
      </c>
      <c r="P62" s="6">
        <f t="shared" si="23"/>
        <v>19.728535353535353</v>
      </c>
      <c r="Q62" s="13">
        <f t="shared" si="37"/>
        <v>43.712121212121176</v>
      </c>
      <c r="R62" s="10">
        <v>0.01370023148148148</v>
      </c>
      <c r="S62" s="9">
        <f t="shared" si="24"/>
        <v>32.880892255892256</v>
      </c>
      <c r="T62" s="13">
        <f>60*(S62-32)</f>
        <v>52.853535353535364</v>
      </c>
      <c r="U62" s="18">
        <v>0.022834490740740742</v>
      </c>
      <c r="V62" s="6">
        <f t="shared" si="25"/>
        <v>65.76178451178451</v>
      </c>
      <c r="W62" s="23">
        <f>60*(V62-65)</f>
        <v>45.70707070707073</v>
      </c>
      <c r="X62" s="24" t="s">
        <v>34</v>
      </c>
      <c r="Y62" s="6">
        <f t="shared" si="26"/>
        <v>131.52356902356902</v>
      </c>
      <c r="Z62" s="23">
        <f t="shared" si="27"/>
        <v>31.414141414141454</v>
      </c>
      <c r="AA62" s="24" t="s">
        <v>113</v>
      </c>
      <c r="AB62" s="6">
        <f t="shared" si="28"/>
        <v>277.48177083333337</v>
      </c>
      <c r="AC62" s="23">
        <f t="shared" si="29"/>
        <v>28.906250000002274</v>
      </c>
      <c r="AD62" s="24" t="s">
        <v>198</v>
      </c>
      <c r="AE62" s="6">
        <f t="shared" si="30"/>
        <v>328.8089225589226</v>
      </c>
      <c r="AF62" s="13">
        <f t="shared" si="31"/>
        <v>48.53535353535449</v>
      </c>
      <c r="AG62" s="24" t="s">
        <v>286</v>
      </c>
      <c r="AI62" s="8">
        <f t="shared" si="36"/>
        <v>10.583333333333334</v>
      </c>
      <c r="AJ62" s="8">
        <f>35/60</f>
        <v>0.5833333333333334</v>
      </c>
    </row>
    <row r="63" spans="1:36" ht="12.75">
      <c r="A63" s="39">
        <v>0.4444444444444444</v>
      </c>
      <c r="B63" s="10">
        <v>0.00460300925925926</v>
      </c>
      <c r="C63" s="7">
        <v>0.4444444444444444</v>
      </c>
      <c r="D63" s="10">
        <v>0.013807870370370371</v>
      </c>
      <c r="E63" s="10">
        <v>0.02301388888888889</v>
      </c>
      <c r="F63" s="26" t="s">
        <v>35</v>
      </c>
      <c r="G63" s="26" t="s">
        <v>114</v>
      </c>
      <c r="H63" s="26" t="s">
        <v>199</v>
      </c>
      <c r="I63" s="26" t="s">
        <v>287</v>
      </c>
      <c r="J63" s="40">
        <v>0.4444444444444444</v>
      </c>
      <c r="K63" s="2">
        <v>0.4444444444444444</v>
      </c>
      <c r="L63" s="21">
        <f t="shared" si="22"/>
        <v>6.627959383864895</v>
      </c>
      <c r="M63" s="23">
        <f t="shared" si="34"/>
        <v>37.67756303189371</v>
      </c>
      <c r="N63" s="18">
        <v>0.00460300925925926</v>
      </c>
      <c r="O63" s="2">
        <v>0.4444444444444444</v>
      </c>
      <c r="P63" s="6">
        <f t="shared" si="23"/>
        <v>19.883878151594686</v>
      </c>
      <c r="Q63" s="13">
        <f t="shared" si="37"/>
        <v>53.03268909568118</v>
      </c>
      <c r="R63" s="10">
        <v>0.013807870370370371</v>
      </c>
      <c r="S63" s="9">
        <f t="shared" si="24"/>
        <v>33.139796919324475</v>
      </c>
      <c r="T63" s="13">
        <f>60*(S63-33)</f>
        <v>8.387815159468488</v>
      </c>
      <c r="U63" s="18">
        <v>0.02301388888888889</v>
      </c>
      <c r="V63" s="6">
        <f t="shared" si="25"/>
        <v>66.27959383864895</v>
      </c>
      <c r="W63" s="23">
        <f>60*(V63-66)</f>
        <v>16.775630318936976</v>
      </c>
      <c r="X63" s="24" t="s">
        <v>35</v>
      </c>
      <c r="Y63" s="6">
        <f t="shared" si="26"/>
        <v>132.5591876772979</v>
      </c>
      <c r="Z63" s="23">
        <f t="shared" si="27"/>
        <v>33.55126063787395</v>
      </c>
      <c r="AA63" s="24" t="s">
        <v>114</v>
      </c>
      <c r="AB63" s="6">
        <f t="shared" si="28"/>
        <v>279.66666666666663</v>
      </c>
      <c r="AC63" s="23">
        <f t="shared" si="29"/>
        <v>39.999999999997726</v>
      </c>
      <c r="AD63" s="24" t="s">
        <v>199</v>
      </c>
      <c r="AE63" s="6">
        <f t="shared" si="30"/>
        <v>331.3979691932447</v>
      </c>
      <c r="AF63" s="13">
        <f t="shared" si="31"/>
        <v>23.878151594682322</v>
      </c>
      <c r="AG63" s="24" t="s">
        <v>287</v>
      </c>
      <c r="AI63" s="8">
        <f t="shared" si="36"/>
        <v>10.666666666666666</v>
      </c>
      <c r="AJ63" s="8">
        <f>4/6</f>
        <v>0.6666666666666666</v>
      </c>
    </row>
    <row r="64" spans="1:36" ht="12.75">
      <c r="A64" s="39">
        <v>0.4479166666666667</v>
      </c>
      <c r="B64" s="10">
        <v>0.004638888888888889</v>
      </c>
      <c r="C64" s="7">
        <v>0.4479166666666667</v>
      </c>
      <c r="D64" s="10">
        <v>0.013916666666666666</v>
      </c>
      <c r="E64" s="10">
        <v>0.023193287037037037</v>
      </c>
      <c r="F64" s="26" t="s">
        <v>36</v>
      </c>
      <c r="G64" s="26" t="s">
        <v>115</v>
      </c>
      <c r="H64" s="26" t="s">
        <v>200</v>
      </c>
      <c r="I64" s="26" t="s">
        <v>288</v>
      </c>
      <c r="J64" s="40">
        <v>0.4479166666666667</v>
      </c>
      <c r="K64" s="2">
        <v>0.4479166666666667</v>
      </c>
      <c r="L64" s="21">
        <f t="shared" si="22"/>
        <v>6.67974031655134</v>
      </c>
      <c r="M64" s="23">
        <f t="shared" si="34"/>
        <v>40.78441899308038</v>
      </c>
      <c r="N64" s="18">
        <v>0.004638888888888889</v>
      </c>
      <c r="O64" s="2">
        <v>0.4479166666666667</v>
      </c>
      <c r="P64" s="6">
        <f t="shared" si="23"/>
        <v>20.03922094965402</v>
      </c>
      <c r="Q64" s="13">
        <f aca="true" t="shared" si="38" ref="Q64:Q70">(P64-20)*60</f>
        <v>2.3532569792411806</v>
      </c>
      <c r="R64" s="10">
        <v>0.013916666666666666</v>
      </c>
      <c r="S64" s="9">
        <f t="shared" si="24"/>
        <v>33.3987015827567</v>
      </c>
      <c r="T64" s="13">
        <f>60*(S64-33)</f>
        <v>23.92209496540204</v>
      </c>
      <c r="U64" s="18">
        <v>0.023193287037037037</v>
      </c>
      <c r="V64" s="6">
        <f t="shared" si="25"/>
        <v>66.7974031655134</v>
      </c>
      <c r="W64" s="23">
        <f>60*(V64-66)</f>
        <v>47.84418993080408</v>
      </c>
      <c r="X64" s="24" t="s">
        <v>36</v>
      </c>
      <c r="Y64" s="6">
        <f t="shared" si="26"/>
        <v>133.5948063310268</v>
      </c>
      <c r="Z64" s="23">
        <f t="shared" si="27"/>
        <v>35.688379861608155</v>
      </c>
      <c r="AA64" s="24" t="s">
        <v>115</v>
      </c>
      <c r="AB64" s="6">
        <f t="shared" si="28"/>
        <v>281.8515625</v>
      </c>
      <c r="AC64" s="23">
        <f t="shared" si="29"/>
        <v>51.09375</v>
      </c>
      <c r="AD64" s="24" t="s">
        <v>200</v>
      </c>
      <c r="AE64" s="6">
        <f t="shared" si="30"/>
        <v>333.987015827567</v>
      </c>
      <c r="AF64" s="13">
        <f t="shared" si="31"/>
        <v>59.22094965402039</v>
      </c>
      <c r="AG64" s="24" t="s">
        <v>288</v>
      </c>
      <c r="AI64" s="8">
        <f t="shared" si="36"/>
        <v>10.75</v>
      </c>
      <c r="AJ64" s="8">
        <f>45/60</f>
        <v>0.75</v>
      </c>
    </row>
    <row r="65" spans="1:36" ht="12.75">
      <c r="A65" s="39">
        <v>0.4513888888888889</v>
      </c>
      <c r="B65" s="10">
        <v>0.004674768518518518</v>
      </c>
      <c r="C65" s="7">
        <v>0.4513888888888889</v>
      </c>
      <c r="D65" s="10">
        <v>0.014024305555555555</v>
      </c>
      <c r="E65" s="10">
        <v>0.023373842592592592</v>
      </c>
      <c r="F65" s="26" t="s">
        <v>37</v>
      </c>
      <c r="G65" s="26" t="s">
        <v>116</v>
      </c>
      <c r="H65" s="26" t="s">
        <v>201</v>
      </c>
      <c r="I65" s="26" t="s">
        <v>289</v>
      </c>
      <c r="J65" s="40">
        <v>0.4513888888888889</v>
      </c>
      <c r="K65" s="2">
        <v>0.4513888888888889</v>
      </c>
      <c r="L65" s="21">
        <f t="shared" si="22"/>
        <v>6.731521249237785</v>
      </c>
      <c r="M65" s="23">
        <f t="shared" si="34"/>
        <v>43.8912749542671</v>
      </c>
      <c r="N65" s="18">
        <v>0.004674768518518518</v>
      </c>
      <c r="O65" s="2">
        <v>0.4513888888888889</v>
      </c>
      <c r="P65" s="6">
        <f t="shared" si="23"/>
        <v>20.194563747713353</v>
      </c>
      <c r="Q65" s="13">
        <f t="shared" si="38"/>
        <v>11.673824862801183</v>
      </c>
      <c r="R65" s="10">
        <v>0.014024305555555555</v>
      </c>
      <c r="S65" s="9">
        <f t="shared" si="24"/>
        <v>33.65760624618893</v>
      </c>
      <c r="T65" s="13">
        <f>60*(S65-33)</f>
        <v>39.45637477133559</v>
      </c>
      <c r="U65" s="18">
        <v>0.023373842592592592</v>
      </c>
      <c r="V65" s="6">
        <f t="shared" si="25"/>
        <v>67.31521249237785</v>
      </c>
      <c r="W65" s="23">
        <f>60*(V65-67)</f>
        <v>18.91274954267118</v>
      </c>
      <c r="X65" s="24" t="s">
        <v>37</v>
      </c>
      <c r="Y65" s="6">
        <f t="shared" si="26"/>
        <v>134.6304249847557</v>
      </c>
      <c r="Z65" s="23">
        <f t="shared" si="27"/>
        <v>37.82549908534236</v>
      </c>
      <c r="AA65" s="24" t="s">
        <v>116</v>
      </c>
      <c r="AB65" s="6">
        <f t="shared" si="28"/>
        <v>284.03645833333337</v>
      </c>
      <c r="AC65" s="23">
        <f t="shared" si="29"/>
        <v>2.1875000000022737</v>
      </c>
      <c r="AD65" s="24" t="s">
        <v>201</v>
      </c>
      <c r="AE65" s="6">
        <f t="shared" si="30"/>
        <v>336.57606246188925</v>
      </c>
      <c r="AF65" s="13">
        <f t="shared" si="31"/>
        <v>34.56374771335504</v>
      </c>
      <c r="AG65" s="24" t="s">
        <v>289</v>
      </c>
      <c r="AI65" s="8">
        <f t="shared" si="36"/>
        <v>10.833333333333334</v>
      </c>
      <c r="AJ65" s="8">
        <f>50/60</f>
        <v>0.8333333333333334</v>
      </c>
    </row>
    <row r="66" spans="1:36" ht="12.75">
      <c r="A66" s="41">
        <v>0.4548611111111111</v>
      </c>
      <c r="B66" s="29">
        <v>0.004710648148148148</v>
      </c>
      <c r="C66" s="28">
        <v>0.4548611111111111</v>
      </c>
      <c r="D66" s="29">
        <v>0.014131944444444445</v>
      </c>
      <c r="E66" s="29">
        <v>0.02355324074074074</v>
      </c>
      <c r="F66" s="25" t="s">
        <v>38</v>
      </c>
      <c r="G66" s="25" t="s">
        <v>117</v>
      </c>
      <c r="H66" s="25" t="s">
        <v>202</v>
      </c>
      <c r="I66" s="25" t="s">
        <v>290</v>
      </c>
      <c r="J66" s="42">
        <v>0.4548611111111111</v>
      </c>
      <c r="K66" s="2">
        <v>0.4548611111111111</v>
      </c>
      <c r="L66" s="21">
        <f t="shared" si="22"/>
        <v>6.7833021819242285</v>
      </c>
      <c r="M66" s="23">
        <f t="shared" si="34"/>
        <v>46.998130915453714</v>
      </c>
      <c r="N66" s="18">
        <v>0.004710648148148148</v>
      </c>
      <c r="O66" s="2">
        <v>0.4548611111111111</v>
      </c>
      <c r="P66" s="6">
        <f t="shared" si="23"/>
        <v>20.349906545772686</v>
      </c>
      <c r="Q66" s="13">
        <f t="shared" si="38"/>
        <v>20.994392746361186</v>
      </c>
      <c r="R66" s="10">
        <v>0.014131944444444445</v>
      </c>
      <c r="S66" s="9">
        <f t="shared" si="24"/>
        <v>33.91651090962114</v>
      </c>
      <c r="T66" s="13">
        <f>60*(S66-33)</f>
        <v>54.99065457726829</v>
      </c>
      <c r="U66" s="18">
        <v>0.02355324074074074</v>
      </c>
      <c r="V66" s="6">
        <f t="shared" si="25"/>
        <v>67.83302181924228</v>
      </c>
      <c r="W66" s="23">
        <f>60*(V66-67)</f>
        <v>49.981309154536575</v>
      </c>
      <c r="X66" s="24" t="s">
        <v>38</v>
      </c>
      <c r="Y66" s="6">
        <f t="shared" si="26"/>
        <v>135.66604363848455</v>
      </c>
      <c r="Z66" s="23">
        <f t="shared" si="27"/>
        <v>39.96261830907315</v>
      </c>
      <c r="AA66" s="24" t="s">
        <v>117</v>
      </c>
      <c r="AB66" s="6">
        <f t="shared" si="28"/>
        <v>286.22135416666663</v>
      </c>
      <c r="AC66" s="23">
        <f t="shared" si="29"/>
        <v>13.281249999997726</v>
      </c>
      <c r="AD66" s="24" t="s">
        <v>202</v>
      </c>
      <c r="AE66" s="6">
        <f t="shared" si="30"/>
        <v>339.1651090962114</v>
      </c>
      <c r="AF66" s="13">
        <f t="shared" si="31"/>
        <v>9.906545772682875</v>
      </c>
      <c r="AG66" s="24" t="s">
        <v>290</v>
      </c>
      <c r="AI66" s="8">
        <f t="shared" si="36"/>
        <v>10.916666666666666</v>
      </c>
      <c r="AJ66" s="8">
        <f>55/60</f>
        <v>0.9166666666666666</v>
      </c>
    </row>
    <row r="67" spans="1:36" ht="12.75">
      <c r="A67" s="39">
        <v>0.4583333333333333</v>
      </c>
      <c r="B67" s="10">
        <v>0.0047465277777777775</v>
      </c>
      <c r="C67" s="7">
        <v>0.4583333333333333</v>
      </c>
      <c r="D67" s="10">
        <v>0.014239583333333333</v>
      </c>
      <c r="E67" s="10">
        <v>0.02373263888888889</v>
      </c>
      <c r="F67" s="26" t="s">
        <v>39</v>
      </c>
      <c r="G67" s="26" t="s">
        <v>118</v>
      </c>
      <c r="H67" s="26" t="s">
        <v>203</v>
      </c>
      <c r="I67" s="26" t="s">
        <v>291</v>
      </c>
      <c r="J67" s="40">
        <v>0.4583333333333333</v>
      </c>
      <c r="K67" s="2">
        <v>0.4583333333333333</v>
      </c>
      <c r="L67" s="21">
        <f t="shared" si="22"/>
        <v>6.835083114610673</v>
      </c>
      <c r="M67" s="23">
        <f t="shared" si="34"/>
        <v>50.10498687664038</v>
      </c>
      <c r="N67" s="18">
        <v>0.0047465277777777775</v>
      </c>
      <c r="O67" s="2">
        <v>0.4583333333333333</v>
      </c>
      <c r="P67" s="6">
        <f t="shared" si="23"/>
        <v>20.50524934383202</v>
      </c>
      <c r="Q67" s="13">
        <f t="shared" si="38"/>
        <v>30.31496062992119</v>
      </c>
      <c r="R67" s="10">
        <v>0.014239583333333333</v>
      </c>
      <c r="S67" s="9">
        <f t="shared" si="24"/>
        <v>34.175415573053364</v>
      </c>
      <c r="T67" s="13">
        <f>60*(S67-34)</f>
        <v>10.524934383201838</v>
      </c>
      <c r="U67" s="18">
        <v>0.02373263888888889</v>
      </c>
      <c r="V67" s="6">
        <f t="shared" si="25"/>
        <v>68.35083114610673</v>
      </c>
      <c r="W67" s="23">
        <f>60*(V67-68)</f>
        <v>21.049868766403677</v>
      </c>
      <c r="X67" s="24" t="s">
        <v>39</v>
      </c>
      <c r="Y67" s="6">
        <f t="shared" si="26"/>
        <v>136.70166229221346</v>
      </c>
      <c r="Z67" s="23">
        <f t="shared" si="27"/>
        <v>42.09973753280735</v>
      </c>
      <c r="AA67" s="24" t="s">
        <v>118</v>
      </c>
      <c r="AB67" s="6">
        <f t="shared" si="28"/>
        <v>288.40625</v>
      </c>
      <c r="AC67" s="23">
        <f t="shared" si="29"/>
        <v>24.375</v>
      </c>
      <c r="AD67" s="24" t="s">
        <v>203</v>
      </c>
      <c r="AE67" s="6">
        <f t="shared" si="30"/>
        <v>341.7541557305337</v>
      </c>
      <c r="AF67" s="13">
        <f t="shared" si="31"/>
        <v>45.24934383202094</v>
      </c>
      <c r="AG67" s="24" t="s">
        <v>291</v>
      </c>
      <c r="AI67" s="8">
        <f aca="true" t="shared" si="39" ref="AI67:AI78">11+AJ67</f>
        <v>11</v>
      </c>
      <c r="AJ67" s="8">
        <v>0</v>
      </c>
    </row>
    <row r="68" spans="1:36" ht="12.75">
      <c r="A68" s="39">
        <v>0.4618055555555556</v>
      </c>
      <c r="B68" s="10">
        <v>0.04228240740740741</v>
      </c>
      <c r="C68" s="7">
        <v>0.4618055555555556</v>
      </c>
      <c r="D68" s="10">
        <v>0.014347222222222221</v>
      </c>
      <c r="E68" s="10">
        <v>0.02391319444444445</v>
      </c>
      <c r="F68" s="26" t="s">
        <v>40</v>
      </c>
      <c r="G68" s="26" t="s">
        <v>119</v>
      </c>
      <c r="H68" s="26" t="s">
        <v>204</v>
      </c>
      <c r="I68" s="26" t="s">
        <v>292</v>
      </c>
      <c r="J68" s="40">
        <v>0.4618055555555556</v>
      </c>
      <c r="K68" s="2">
        <v>0.4618055555555556</v>
      </c>
      <c r="L68" s="21">
        <f t="shared" si="22"/>
        <v>6.886864047297118</v>
      </c>
      <c r="M68" s="23">
        <f t="shared" si="34"/>
        <v>53.2118428378271</v>
      </c>
      <c r="N68" s="18">
        <v>0.04228240740740741</v>
      </c>
      <c r="O68" s="2">
        <v>0.4618055555555556</v>
      </c>
      <c r="P68" s="6">
        <f t="shared" si="23"/>
        <v>20.660592141891353</v>
      </c>
      <c r="Q68" s="13">
        <f t="shared" si="38"/>
        <v>39.63552851348119</v>
      </c>
      <c r="R68" s="10">
        <v>0.014347222222222221</v>
      </c>
      <c r="S68" s="9">
        <f t="shared" si="24"/>
        <v>34.43432023648559</v>
      </c>
      <c r="T68" s="13">
        <f>60*(S68-34)</f>
        <v>26.05921418913539</v>
      </c>
      <c r="U68" s="18">
        <v>0.02391319444444445</v>
      </c>
      <c r="V68" s="6">
        <f t="shared" si="25"/>
        <v>68.86864047297118</v>
      </c>
      <c r="W68" s="23">
        <f>60*(V68-68)</f>
        <v>52.11842837827078</v>
      </c>
      <c r="X68" s="24" t="s">
        <v>40</v>
      </c>
      <c r="Y68" s="6">
        <f t="shared" si="26"/>
        <v>137.73728094594236</v>
      </c>
      <c r="Z68" s="23">
        <f t="shared" si="27"/>
        <v>44.236856756541556</v>
      </c>
      <c r="AA68" s="24" t="s">
        <v>119</v>
      </c>
      <c r="AB68" s="6">
        <f t="shared" si="28"/>
        <v>290.59114583333337</v>
      </c>
      <c r="AC68" s="23">
        <f t="shared" si="29"/>
        <v>35.468750000002274</v>
      </c>
      <c r="AD68" s="24" t="s">
        <v>204</v>
      </c>
      <c r="AE68" s="6">
        <f t="shared" si="30"/>
        <v>344.3432023648559</v>
      </c>
      <c r="AF68" s="13">
        <f t="shared" si="31"/>
        <v>20.592141891355595</v>
      </c>
      <c r="AG68" s="24" t="s">
        <v>292</v>
      </c>
      <c r="AI68" s="8">
        <f t="shared" si="39"/>
        <v>11.083333333333334</v>
      </c>
      <c r="AJ68" s="8">
        <f>5/60</f>
        <v>0.08333333333333333</v>
      </c>
    </row>
    <row r="69" spans="1:36" ht="12.75">
      <c r="A69" s="39">
        <v>0.46527777777777773</v>
      </c>
      <c r="B69" s="10">
        <v>0.004818287037037037</v>
      </c>
      <c r="C69" s="7">
        <v>0.46527777777777773</v>
      </c>
      <c r="D69" s="10">
        <v>0.014456018518518519</v>
      </c>
      <c r="E69" s="10">
        <v>0.024092592592592596</v>
      </c>
      <c r="F69" s="26" t="s">
        <v>41</v>
      </c>
      <c r="G69" s="26" t="s">
        <v>120</v>
      </c>
      <c r="H69" s="26" t="s">
        <v>205</v>
      </c>
      <c r="I69" s="26" t="s">
        <v>293</v>
      </c>
      <c r="J69" s="40">
        <v>0.46527777777777773</v>
      </c>
      <c r="K69" s="2">
        <v>0.46527777777777773</v>
      </c>
      <c r="L69" s="21">
        <f t="shared" si="22"/>
        <v>6.938644979983562</v>
      </c>
      <c r="M69" s="23">
        <f t="shared" si="34"/>
        <v>56.31869879901372</v>
      </c>
      <c r="N69" s="18">
        <v>0.004818287037037037</v>
      </c>
      <c r="O69" s="2">
        <v>0.46527777777777773</v>
      </c>
      <c r="P69" s="6">
        <f t="shared" si="23"/>
        <v>20.815934939950687</v>
      </c>
      <c r="Q69" s="13">
        <f t="shared" si="38"/>
        <v>48.95609639704119</v>
      </c>
      <c r="R69" s="10">
        <v>0.014456018518518519</v>
      </c>
      <c r="S69" s="9">
        <f t="shared" si="24"/>
        <v>34.69322489991781</v>
      </c>
      <c r="T69" s="13">
        <f>60*(S69-34)</f>
        <v>41.59349399506851</v>
      </c>
      <c r="U69" s="18">
        <v>0.024092592592592596</v>
      </c>
      <c r="V69" s="6">
        <f t="shared" si="25"/>
        <v>69.38644979983562</v>
      </c>
      <c r="W69" s="23">
        <f>60*(V69-69)</f>
        <v>23.186987990137027</v>
      </c>
      <c r="X69" s="24" t="s">
        <v>41</v>
      </c>
      <c r="Y69" s="6">
        <f t="shared" si="26"/>
        <v>138.77289959967123</v>
      </c>
      <c r="Z69" s="23">
        <f t="shared" si="27"/>
        <v>46.373975980274054</v>
      </c>
      <c r="AA69" s="24" t="s">
        <v>120</v>
      </c>
      <c r="AB69" s="6">
        <f t="shared" si="28"/>
        <v>292.77604166666663</v>
      </c>
      <c r="AC69" s="23">
        <f t="shared" si="29"/>
        <v>46.562499999997726</v>
      </c>
      <c r="AD69" s="24" t="s">
        <v>205</v>
      </c>
      <c r="AE69" s="6">
        <f t="shared" si="30"/>
        <v>346.93224899917806</v>
      </c>
      <c r="AF69" s="13">
        <f t="shared" si="31"/>
        <v>55.93493995068343</v>
      </c>
      <c r="AG69" s="24" t="s">
        <v>293</v>
      </c>
      <c r="AI69" s="8">
        <f t="shared" si="39"/>
        <v>11.166666666666666</v>
      </c>
      <c r="AJ69" s="8">
        <f>1/6</f>
        <v>0.16666666666666666</v>
      </c>
    </row>
    <row r="70" spans="1:36" ht="12.75">
      <c r="A70" s="39">
        <v>0.46875</v>
      </c>
      <c r="B70" s="10">
        <v>0.004854166666666667</v>
      </c>
      <c r="C70" s="7">
        <v>0.46875</v>
      </c>
      <c r="D70" s="10">
        <v>0.014563657407407407</v>
      </c>
      <c r="E70" s="10">
        <v>0.02427199074074074</v>
      </c>
      <c r="F70" s="26" t="s">
        <v>42</v>
      </c>
      <c r="G70" s="26" t="s">
        <v>121</v>
      </c>
      <c r="H70" s="26" t="s">
        <v>206</v>
      </c>
      <c r="I70" s="26" t="s">
        <v>294</v>
      </c>
      <c r="J70" s="40">
        <v>0.46875</v>
      </c>
      <c r="K70" s="2">
        <v>0.46875</v>
      </c>
      <c r="L70" s="21">
        <f t="shared" si="22"/>
        <v>6.990425912670006</v>
      </c>
      <c r="M70" s="23">
        <f t="shared" si="34"/>
        <v>59.425554760200384</v>
      </c>
      <c r="N70" s="18">
        <v>0.004854166666666667</v>
      </c>
      <c r="O70" s="2">
        <v>0.46875</v>
      </c>
      <c r="P70" s="6">
        <f t="shared" si="23"/>
        <v>20.97127773801002</v>
      </c>
      <c r="Q70" s="13">
        <f t="shared" si="38"/>
        <v>58.276664280601196</v>
      </c>
      <c r="R70" s="10">
        <v>0.014563657407407407</v>
      </c>
      <c r="S70" s="9">
        <f t="shared" si="24"/>
        <v>34.952129563350034</v>
      </c>
      <c r="T70" s="13">
        <f>60*(S70-34)</f>
        <v>57.127773801002064</v>
      </c>
      <c r="U70" s="18">
        <v>0.02427199074074074</v>
      </c>
      <c r="V70" s="6">
        <f t="shared" si="25"/>
        <v>69.90425912670007</v>
      </c>
      <c r="W70" s="23">
        <f>60*(V70-69)</f>
        <v>54.25554760200413</v>
      </c>
      <c r="X70" s="24" t="s">
        <v>42</v>
      </c>
      <c r="Y70" s="6">
        <f t="shared" si="26"/>
        <v>139.80851825340014</v>
      </c>
      <c r="Z70" s="23">
        <f t="shared" si="27"/>
        <v>48.51109520400826</v>
      </c>
      <c r="AA70" s="24" t="s">
        <v>121</v>
      </c>
      <c r="AB70" s="6">
        <f t="shared" si="28"/>
        <v>294.9609375</v>
      </c>
      <c r="AC70" s="23">
        <f t="shared" si="29"/>
        <v>57.65625</v>
      </c>
      <c r="AD70" s="24" t="s">
        <v>206</v>
      </c>
      <c r="AE70" s="6">
        <f t="shared" si="30"/>
        <v>349.52129563350036</v>
      </c>
      <c r="AF70" s="13">
        <f t="shared" si="31"/>
        <v>31.277738010021494</v>
      </c>
      <c r="AG70" s="24" t="s">
        <v>294</v>
      </c>
      <c r="AI70" s="8">
        <f t="shared" si="39"/>
        <v>11.25</v>
      </c>
      <c r="AJ70" s="8">
        <f>15/60</f>
        <v>0.25</v>
      </c>
    </row>
    <row r="71" spans="1:36" ht="12.75">
      <c r="A71" s="39">
        <v>0.47222222222222227</v>
      </c>
      <c r="B71" s="10">
        <v>0.004890046296296296</v>
      </c>
      <c r="C71" s="7">
        <v>0.47222222222222227</v>
      </c>
      <c r="D71" s="10">
        <v>0.014671296296296295</v>
      </c>
      <c r="E71" s="10">
        <v>0.024452546296296295</v>
      </c>
      <c r="F71" s="26" t="s">
        <v>43</v>
      </c>
      <c r="G71" s="26" t="s">
        <v>122</v>
      </c>
      <c r="H71" s="26" t="s">
        <v>207</v>
      </c>
      <c r="I71" s="26" t="s">
        <v>295</v>
      </c>
      <c r="J71" s="40">
        <v>0.47222222222222227</v>
      </c>
      <c r="K71" s="2">
        <v>0.47222222222222227</v>
      </c>
      <c r="L71" s="21">
        <f aca="true" t="shared" si="40" ref="L71:L93">AI71/1.609344</f>
        <v>7.042206845356452</v>
      </c>
      <c r="M71" s="23">
        <f aca="true" t="shared" si="41" ref="M71:M89">60*(L71-7)</f>
        <v>2.5324107213871017</v>
      </c>
      <c r="N71" s="18">
        <v>0.004890046296296296</v>
      </c>
      <c r="O71" s="2">
        <v>0.47222222222222227</v>
      </c>
      <c r="P71" s="6">
        <f aca="true" t="shared" si="42" ref="P71:P93">(3/1.609344)*AI71</f>
        <v>21.126620536069357</v>
      </c>
      <c r="Q71" s="13">
        <f aca="true" t="shared" si="43" ref="Q71:Q76">(P71-21)*60</f>
        <v>7.597232164161412</v>
      </c>
      <c r="R71" s="10">
        <v>0.014671296296296295</v>
      </c>
      <c r="S71" s="9">
        <f aca="true" t="shared" si="44" ref="S71:S93">AI71*5/1.609344</f>
        <v>35.21103422678226</v>
      </c>
      <c r="T71" s="13">
        <f>60*(S71-35)</f>
        <v>12.662053606935615</v>
      </c>
      <c r="U71" s="18">
        <v>0.024452546296296295</v>
      </c>
      <c r="V71" s="6">
        <f aca="true" t="shared" si="45" ref="V71:V93">AI71*10/1.609344</f>
        <v>70.42206845356452</v>
      </c>
      <c r="W71" s="23">
        <f>60*(V71-70)</f>
        <v>25.32410721387123</v>
      </c>
      <c r="X71" s="24" t="s">
        <v>43</v>
      </c>
      <c r="Y71" s="6">
        <f aca="true" t="shared" si="46" ref="Y71:Y93">AI71*20/1.609344</f>
        <v>140.84413690712904</v>
      </c>
      <c r="Z71" s="23">
        <f aca="true" t="shared" si="47" ref="Z71:Z93">60*(AI71*20/1.609344-TRUNC(AI71*20/1.609344))</f>
        <v>50.64821442774246</v>
      </c>
      <c r="AA71" s="24" t="s">
        <v>122</v>
      </c>
      <c r="AB71" s="6">
        <f aca="true" t="shared" si="48" ref="AB71:AB93">AI71*26.21875</f>
        <v>297.14583333333337</v>
      </c>
      <c r="AC71" s="23">
        <f aca="true" t="shared" si="49" ref="AC71:AC93">60*(AI71*26.21875-TRUNC(AI71*26.21875))</f>
        <v>8.750000000002274</v>
      </c>
      <c r="AD71" s="24" t="s">
        <v>207</v>
      </c>
      <c r="AE71" s="6">
        <f aca="true" t="shared" si="50" ref="AE71:AE93">AI71*50/1.609344</f>
        <v>352.1103422678226</v>
      </c>
      <c r="AF71" s="13">
        <f aca="true" t="shared" si="51" ref="AF71:AF93">60*(AI71*50/1.609344-TRUNC(AI71*50/1.609344))</f>
        <v>6.620536069356149</v>
      </c>
      <c r="AG71" s="24" t="s">
        <v>295</v>
      </c>
      <c r="AI71" s="8">
        <f t="shared" si="39"/>
        <v>11.333333333333334</v>
      </c>
      <c r="AJ71" s="8">
        <f>20/60</f>
        <v>0.3333333333333333</v>
      </c>
    </row>
    <row r="72" spans="1:36" ht="12.75">
      <c r="A72" s="41">
        <v>0.4756944444444444</v>
      </c>
      <c r="B72" s="29">
        <v>0.0049259259259259265</v>
      </c>
      <c r="C72" s="28">
        <v>0.4756944444444444</v>
      </c>
      <c r="D72" s="29">
        <v>0.014778935185185185</v>
      </c>
      <c r="E72" s="29">
        <v>0.024631944444444442</v>
      </c>
      <c r="F72" s="25" t="s">
        <v>44</v>
      </c>
      <c r="G72" s="25" t="s">
        <v>123</v>
      </c>
      <c r="H72" s="25" t="s">
        <v>208</v>
      </c>
      <c r="I72" s="25" t="s">
        <v>296</v>
      </c>
      <c r="J72" s="42">
        <v>0.4756944444444444</v>
      </c>
      <c r="K72" s="2">
        <v>0.4756944444444444</v>
      </c>
      <c r="L72" s="21">
        <f t="shared" si="40"/>
        <v>7.093987778042895</v>
      </c>
      <c r="M72" s="23">
        <f t="shared" si="41"/>
        <v>5.639266682573716</v>
      </c>
      <c r="N72" s="18">
        <v>0.0049259259259259265</v>
      </c>
      <c r="O72" s="2">
        <v>0.4756944444444444</v>
      </c>
      <c r="P72" s="6">
        <f t="shared" si="42"/>
        <v>21.281963334128687</v>
      </c>
      <c r="Q72" s="13">
        <f t="shared" si="43"/>
        <v>16.9178000477212</v>
      </c>
      <c r="R72" s="10">
        <v>0.014778935185185185</v>
      </c>
      <c r="S72" s="9">
        <f t="shared" si="44"/>
        <v>35.46993889021448</v>
      </c>
      <c r="T72" s="13">
        <f>60*(S72-35)</f>
        <v>28.19633341286874</v>
      </c>
      <c r="U72" s="18">
        <v>0.024631944444444442</v>
      </c>
      <c r="V72" s="6">
        <f t="shared" si="45"/>
        <v>70.93987778042896</v>
      </c>
      <c r="W72" s="23">
        <f>60*(V72-70)</f>
        <v>56.39266682573748</v>
      </c>
      <c r="X72" s="24" t="s">
        <v>44</v>
      </c>
      <c r="Y72" s="6">
        <f t="shared" si="46"/>
        <v>141.87975556085792</v>
      </c>
      <c r="Z72" s="23">
        <f t="shared" si="47"/>
        <v>52.78533365147496</v>
      </c>
      <c r="AA72" s="24" t="s">
        <v>123</v>
      </c>
      <c r="AB72" s="6">
        <f t="shared" si="48"/>
        <v>299.33072916666663</v>
      </c>
      <c r="AC72" s="23">
        <f t="shared" si="49"/>
        <v>19.843749999997726</v>
      </c>
      <c r="AD72" s="24" t="s">
        <v>208</v>
      </c>
      <c r="AE72" s="6">
        <f t="shared" si="50"/>
        <v>354.69938890214473</v>
      </c>
      <c r="AF72" s="13">
        <f t="shared" si="51"/>
        <v>41.96333412868398</v>
      </c>
      <c r="AG72" s="24" t="s">
        <v>296</v>
      </c>
      <c r="AI72" s="8">
        <f t="shared" si="39"/>
        <v>11.416666666666666</v>
      </c>
      <c r="AJ72" s="8">
        <f>25/60</f>
        <v>0.4166666666666667</v>
      </c>
    </row>
    <row r="73" spans="1:36" ht="12.75">
      <c r="A73" s="39">
        <v>0.4791666666666667</v>
      </c>
      <c r="B73" s="10">
        <v>0.004961805555555555</v>
      </c>
      <c r="C73" s="7">
        <v>0.4791666666666667</v>
      </c>
      <c r="D73" s="10">
        <v>0.014886574074074075</v>
      </c>
      <c r="E73" s="10">
        <v>0.02481134259259259</v>
      </c>
      <c r="F73" s="26" t="s">
        <v>45</v>
      </c>
      <c r="G73" s="26" t="s">
        <v>124</v>
      </c>
      <c r="H73" s="26" t="s">
        <v>209</v>
      </c>
      <c r="I73" s="26" t="s">
        <v>297</v>
      </c>
      <c r="J73" s="40">
        <v>0.4791666666666667</v>
      </c>
      <c r="K73" s="2">
        <v>0.4791666666666667</v>
      </c>
      <c r="L73" s="21">
        <f t="shared" si="40"/>
        <v>7.145768710729341</v>
      </c>
      <c r="M73" s="23">
        <f t="shared" si="41"/>
        <v>8.746122643760437</v>
      </c>
      <c r="N73" s="18">
        <v>0.004961805555555555</v>
      </c>
      <c r="O73" s="2">
        <v>0.4791666666666667</v>
      </c>
      <c r="P73" s="6">
        <f t="shared" si="42"/>
        <v>21.43730613218802</v>
      </c>
      <c r="Q73" s="13">
        <f t="shared" si="43"/>
        <v>26.238367931281203</v>
      </c>
      <c r="R73" s="10">
        <v>0.014886574074074075</v>
      </c>
      <c r="S73" s="9">
        <f t="shared" si="44"/>
        <v>35.7288435536467</v>
      </c>
      <c r="T73" s="13">
        <f>60*(S73-35)</f>
        <v>43.730613218801864</v>
      </c>
      <c r="U73" s="18">
        <v>0.02481134259259259</v>
      </c>
      <c r="V73" s="6">
        <f t="shared" si="45"/>
        <v>71.4576871072934</v>
      </c>
      <c r="W73" s="23">
        <f>60*(V73-71)</f>
        <v>27.461226437603727</v>
      </c>
      <c r="X73" s="24" t="s">
        <v>45</v>
      </c>
      <c r="Y73" s="6">
        <f t="shared" si="46"/>
        <v>142.9153742145868</v>
      </c>
      <c r="Z73" s="23">
        <f t="shared" si="47"/>
        <v>54.922452875207455</v>
      </c>
      <c r="AA73" s="24" t="s">
        <v>124</v>
      </c>
      <c r="AB73" s="6">
        <f t="shared" si="48"/>
        <v>301.515625</v>
      </c>
      <c r="AC73" s="23">
        <f t="shared" si="49"/>
        <v>30.9375</v>
      </c>
      <c r="AD73" s="24" t="s">
        <v>209</v>
      </c>
      <c r="AE73" s="6">
        <f t="shared" si="50"/>
        <v>357.28843553646703</v>
      </c>
      <c r="AF73" s="13">
        <f t="shared" si="51"/>
        <v>17.306132188022048</v>
      </c>
      <c r="AG73" s="24" t="s">
        <v>297</v>
      </c>
      <c r="AI73" s="8">
        <f t="shared" si="39"/>
        <v>11.5</v>
      </c>
      <c r="AJ73" s="8">
        <f>3/6</f>
        <v>0.5</v>
      </c>
    </row>
    <row r="74" spans="1:36" ht="12.75">
      <c r="A74" s="39">
        <v>0.4826388888888889</v>
      </c>
      <c r="B74" s="10">
        <v>0.004998842592592592</v>
      </c>
      <c r="C74" s="7">
        <v>0.4826388888888889</v>
      </c>
      <c r="D74" s="10">
        <v>0.014995370370370369</v>
      </c>
      <c r="E74" s="10">
        <v>0.024991898148148145</v>
      </c>
      <c r="F74" s="26" t="s">
        <v>46</v>
      </c>
      <c r="G74" s="26" t="s">
        <v>125</v>
      </c>
      <c r="H74" s="26" t="s">
        <v>210</v>
      </c>
      <c r="I74" s="26" t="s">
        <v>298</v>
      </c>
      <c r="J74" s="40">
        <v>0.4826388888888889</v>
      </c>
      <c r="K74" s="2">
        <v>0.4826388888888889</v>
      </c>
      <c r="L74" s="21">
        <f t="shared" si="40"/>
        <v>7.197549643415785</v>
      </c>
      <c r="M74" s="23">
        <f t="shared" si="41"/>
        <v>11.852978604947104</v>
      </c>
      <c r="N74" s="18">
        <v>0.004998842592592592</v>
      </c>
      <c r="O74" s="2">
        <v>0.4826388888888889</v>
      </c>
      <c r="P74" s="6">
        <f t="shared" si="42"/>
        <v>21.592648930247357</v>
      </c>
      <c r="Q74" s="13">
        <f t="shared" si="43"/>
        <v>35.55893581484142</v>
      </c>
      <c r="R74" s="10">
        <v>0.014995370370370369</v>
      </c>
      <c r="S74" s="9">
        <f t="shared" si="44"/>
        <v>35.987748217078924</v>
      </c>
      <c r="T74" s="13">
        <f>60*(S74-35)</f>
        <v>59.264893024735414</v>
      </c>
      <c r="U74" s="18">
        <v>0.024991898148148145</v>
      </c>
      <c r="V74" s="6">
        <f t="shared" si="45"/>
        <v>71.97549643415785</v>
      </c>
      <c r="W74" s="23">
        <f>60*(V74-71)</f>
        <v>58.52978604947083</v>
      </c>
      <c r="X74" s="24" t="s">
        <v>46</v>
      </c>
      <c r="Y74" s="6">
        <f t="shared" si="46"/>
        <v>143.9509928683157</v>
      </c>
      <c r="Z74" s="23">
        <f t="shared" si="47"/>
        <v>57.05957209894166</v>
      </c>
      <c r="AA74" s="24" t="s">
        <v>125</v>
      </c>
      <c r="AB74" s="6">
        <f t="shared" si="48"/>
        <v>303.70052083333337</v>
      </c>
      <c r="AC74" s="23">
        <f t="shared" si="49"/>
        <v>42.031250000002274</v>
      </c>
      <c r="AD74" s="24" t="s">
        <v>210</v>
      </c>
      <c r="AE74" s="6">
        <f t="shared" si="50"/>
        <v>359.8774821707893</v>
      </c>
      <c r="AF74" s="13">
        <f t="shared" si="51"/>
        <v>52.6489302473567</v>
      </c>
      <c r="AG74" s="24" t="s">
        <v>298</v>
      </c>
      <c r="AI74" s="8">
        <f t="shared" si="39"/>
        <v>11.583333333333334</v>
      </c>
      <c r="AJ74" s="8">
        <f>35/60</f>
        <v>0.5833333333333334</v>
      </c>
    </row>
    <row r="75" spans="1:36" ht="12.75">
      <c r="A75" s="39">
        <v>0.4861111111111111</v>
      </c>
      <c r="B75" s="10">
        <v>0.0050347222222222225</v>
      </c>
      <c r="C75" s="7">
        <v>0.4861111111111111</v>
      </c>
      <c r="D75" s="10">
        <v>0.01510300925925926</v>
      </c>
      <c r="E75" s="10">
        <v>0.0251712962962963</v>
      </c>
      <c r="F75" s="26" t="s">
        <v>47</v>
      </c>
      <c r="G75" s="26" t="s">
        <v>126</v>
      </c>
      <c r="H75" s="26" t="s">
        <v>211</v>
      </c>
      <c r="I75" s="26" t="s">
        <v>231</v>
      </c>
      <c r="J75" s="40">
        <v>0.4861111111111111</v>
      </c>
      <c r="K75" s="2">
        <v>0.4861111111111111</v>
      </c>
      <c r="L75" s="21">
        <f t="shared" si="40"/>
        <v>7.249330576102229</v>
      </c>
      <c r="M75" s="23">
        <f t="shared" si="41"/>
        <v>14.959834566133718</v>
      </c>
      <c r="N75" s="18">
        <v>0.0050347222222222225</v>
      </c>
      <c r="O75" s="2">
        <v>0.4861111111111111</v>
      </c>
      <c r="P75" s="6">
        <f t="shared" si="42"/>
        <v>21.747991728306687</v>
      </c>
      <c r="Q75" s="13">
        <f t="shared" si="43"/>
        <v>44.87950369840121</v>
      </c>
      <c r="R75" s="10">
        <v>0.01510300925925926</v>
      </c>
      <c r="S75" s="9">
        <f t="shared" si="44"/>
        <v>36.24665288051114</v>
      </c>
      <c r="T75" s="13">
        <f>60*(S75-36)</f>
        <v>14.799172830668539</v>
      </c>
      <c r="U75" s="18">
        <v>0.0251712962962963</v>
      </c>
      <c r="V75" s="6">
        <f t="shared" si="45"/>
        <v>72.49330576102228</v>
      </c>
      <c r="W75" s="23">
        <f>60*(V75-72)</f>
        <v>29.598345661337078</v>
      </c>
      <c r="X75" s="24" t="s">
        <v>47</v>
      </c>
      <c r="Y75" s="6">
        <f t="shared" si="46"/>
        <v>144.98661152204457</v>
      </c>
      <c r="Z75" s="23">
        <f t="shared" si="47"/>
        <v>59.196691322674155</v>
      </c>
      <c r="AA75" s="24" t="s">
        <v>126</v>
      </c>
      <c r="AB75" s="6">
        <f t="shared" si="48"/>
        <v>305.88541666666663</v>
      </c>
      <c r="AC75" s="23">
        <f t="shared" si="49"/>
        <v>53.124999999997726</v>
      </c>
      <c r="AD75" s="24" t="s">
        <v>211</v>
      </c>
      <c r="AE75" s="6">
        <f t="shared" si="50"/>
        <v>362.4665288051114</v>
      </c>
      <c r="AF75" s="13">
        <f t="shared" si="51"/>
        <v>27.991728306684536</v>
      </c>
      <c r="AG75" s="24" t="s">
        <v>231</v>
      </c>
      <c r="AI75" s="8">
        <f t="shared" si="39"/>
        <v>11.666666666666666</v>
      </c>
      <c r="AJ75" s="8">
        <f>4/6</f>
        <v>0.6666666666666666</v>
      </c>
    </row>
    <row r="76" spans="1:36" ht="12.75">
      <c r="A76" s="39">
        <v>0.4895833333333333</v>
      </c>
      <c r="B76" s="10">
        <v>0.005070601851851852</v>
      </c>
      <c r="C76" s="7">
        <v>0.4895833333333333</v>
      </c>
      <c r="D76" s="10">
        <v>0.015210648148148147</v>
      </c>
      <c r="E76" s="10">
        <v>0.025350694444444447</v>
      </c>
      <c r="F76" s="26" t="s">
        <v>48</v>
      </c>
      <c r="G76" s="26" t="s">
        <v>127</v>
      </c>
      <c r="H76" s="26" t="s">
        <v>212</v>
      </c>
      <c r="I76" s="26" t="s">
        <v>299</v>
      </c>
      <c r="J76" s="40">
        <v>0.4895833333333333</v>
      </c>
      <c r="K76" s="2">
        <v>0.4895833333333333</v>
      </c>
      <c r="L76" s="21">
        <f t="shared" si="40"/>
        <v>7.301111508788674</v>
      </c>
      <c r="M76" s="23">
        <f t="shared" si="41"/>
        <v>18.06669052732044</v>
      </c>
      <c r="N76" s="18">
        <v>0.005070601851851852</v>
      </c>
      <c r="O76" s="2">
        <v>0.4895833333333333</v>
      </c>
      <c r="P76" s="6">
        <f t="shared" si="42"/>
        <v>21.90333452636602</v>
      </c>
      <c r="Q76" s="13">
        <f t="shared" si="43"/>
        <v>54.20007158196121</v>
      </c>
      <c r="R76" s="10">
        <v>0.015210648148148147</v>
      </c>
      <c r="S76" s="9">
        <f t="shared" si="44"/>
        <v>36.50555754394337</v>
      </c>
      <c r="T76" s="13">
        <f>60*(S76-36)</f>
        <v>30.33345263660209</v>
      </c>
      <c r="U76" s="18">
        <v>0.025350694444444447</v>
      </c>
      <c r="V76" s="6">
        <f t="shared" si="45"/>
        <v>73.01111508788674</v>
      </c>
      <c r="W76" s="23">
        <f>60*(V76-73)</f>
        <v>0.6669052732041791</v>
      </c>
      <c r="X76" s="24" t="s">
        <v>48</v>
      </c>
      <c r="Y76" s="6">
        <f t="shared" si="46"/>
        <v>146.02223017577347</v>
      </c>
      <c r="Z76" s="23">
        <f t="shared" si="47"/>
        <v>1.3338105464083583</v>
      </c>
      <c r="AA76" s="24" t="s">
        <v>127</v>
      </c>
      <c r="AB76" s="6">
        <f t="shared" si="48"/>
        <v>308.0703125</v>
      </c>
      <c r="AC76" s="23">
        <f t="shared" si="49"/>
        <v>4.21875</v>
      </c>
      <c r="AD76" s="24" t="s">
        <v>212</v>
      </c>
      <c r="AE76" s="6">
        <f t="shared" si="50"/>
        <v>365.0555754394337</v>
      </c>
      <c r="AF76" s="13">
        <f t="shared" si="51"/>
        <v>3.334526366022601</v>
      </c>
      <c r="AG76" s="24" t="s">
        <v>299</v>
      </c>
      <c r="AI76" s="8">
        <f t="shared" si="39"/>
        <v>11.75</v>
      </c>
      <c r="AJ76" s="8">
        <f>45/60</f>
        <v>0.75</v>
      </c>
    </row>
    <row r="77" spans="1:36" ht="12.75">
      <c r="A77" s="39">
        <v>0.4930555555555556</v>
      </c>
      <c r="B77" s="10">
        <v>0.005106481481481482</v>
      </c>
      <c r="C77" s="7">
        <v>0.4930555555555556</v>
      </c>
      <c r="D77" s="10">
        <v>0.015318287037037038</v>
      </c>
      <c r="E77" s="10">
        <v>0.025531250000000002</v>
      </c>
      <c r="F77" s="26" t="s">
        <v>49</v>
      </c>
      <c r="G77" s="26" t="s">
        <v>128</v>
      </c>
      <c r="H77" s="26" t="s">
        <v>213</v>
      </c>
      <c r="I77" s="26" t="s">
        <v>300</v>
      </c>
      <c r="J77" s="40">
        <v>0.4930555555555556</v>
      </c>
      <c r="K77" s="2">
        <v>0.4930555555555556</v>
      </c>
      <c r="L77" s="21">
        <f t="shared" si="40"/>
        <v>7.3528924414751184</v>
      </c>
      <c r="M77" s="23">
        <f t="shared" si="41"/>
        <v>21.173546488507107</v>
      </c>
      <c r="N77" s="18">
        <v>0.005106481481481482</v>
      </c>
      <c r="O77" s="2">
        <v>0.4930555555555556</v>
      </c>
      <c r="P77" s="6">
        <f t="shared" si="42"/>
        <v>22.058677324425357</v>
      </c>
      <c r="Q77" s="13">
        <f aca="true" t="shared" si="52" ref="Q77:Q83">(P77-22)*60</f>
        <v>3.520639465521427</v>
      </c>
      <c r="R77" s="10">
        <v>0.015318287037037038</v>
      </c>
      <c r="S77" s="9">
        <f t="shared" si="44"/>
        <v>36.764462207375594</v>
      </c>
      <c r="T77" s="13">
        <f>60*(S77-36)</f>
        <v>45.86773244253564</v>
      </c>
      <c r="U77" s="18">
        <v>0.025531250000000002</v>
      </c>
      <c r="V77" s="6">
        <f t="shared" si="45"/>
        <v>73.52892441475119</v>
      </c>
      <c r="W77" s="23">
        <f>60*(V77-73)</f>
        <v>31.73546488507128</v>
      </c>
      <c r="X77" s="24" t="s">
        <v>49</v>
      </c>
      <c r="Y77" s="6">
        <f t="shared" si="46"/>
        <v>147.05784882950238</v>
      </c>
      <c r="Z77" s="23">
        <f t="shared" si="47"/>
        <v>3.470929770142561</v>
      </c>
      <c r="AA77" s="24" t="s">
        <v>128</v>
      </c>
      <c r="AB77" s="6">
        <f t="shared" si="48"/>
        <v>310.25520833333337</v>
      </c>
      <c r="AC77" s="23">
        <f t="shared" si="49"/>
        <v>15.312500000002274</v>
      </c>
      <c r="AD77" s="24" t="s">
        <v>213</v>
      </c>
      <c r="AE77" s="6">
        <f t="shared" si="50"/>
        <v>367.64462207375595</v>
      </c>
      <c r="AF77" s="13">
        <f t="shared" si="51"/>
        <v>38.677324425357256</v>
      </c>
      <c r="AG77" s="24" t="s">
        <v>300</v>
      </c>
      <c r="AI77" s="8">
        <f t="shared" si="39"/>
        <v>11.833333333333334</v>
      </c>
      <c r="AJ77" s="8">
        <f>50/60</f>
        <v>0.8333333333333334</v>
      </c>
    </row>
    <row r="78" spans="1:36" ht="12.75">
      <c r="A78" s="41">
        <v>0.49652777777777773</v>
      </c>
      <c r="B78" s="29">
        <v>0.0051423611111111114</v>
      </c>
      <c r="C78" s="28">
        <v>0.49652777777777773</v>
      </c>
      <c r="D78" s="29">
        <v>0.015425925925925926</v>
      </c>
      <c r="E78" s="29">
        <v>0.02571064814814815</v>
      </c>
      <c r="F78" s="25" t="s">
        <v>50</v>
      </c>
      <c r="G78" s="25" t="s">
        <v>129</v>
      </c>
      <c r="H78" s="25" t="s">
        <v>214</v>
      </c>
      <c r="I78" s="25" t="s">
        <v>301</v>
      </c>
      <c r="J78" s="42">
        <v>0.49652777777777773</v>
      </c>
      <c r="K78" s="2">
        <v>0.49652777777777773</v>
      </c>
      <c r="L78" s="21">
        <f t="shared" si="40"/>
        <v>7.404673374161562</v>
      </c>
      <c r="M78" s="23">
        <f t="shared" si="41"/>
        <v>24.28040244969372</v>
      </c>
      <c r="N78" s="18">
        <v>0.0051423611111111114</v>
      </c>
      <c r="O78" s="2">
        <v>0.49652777777777773</v>
      </c>
      <c r="P78" s="6">
        <f t="shared" si="42"/>
        <v>22.214020122484687</v>
      </c>
      <c r="Q78" s="13">
        <f t="shared" si="52"/>
        <v>12.841207349081216</v>
      </c>
      <c r="R78" s="10">
        <v>0.015425925925925926</v>
      </c>
      <c r="S78" s="9">
        <f t="shared" si="44"/>
        <v>37.02336687080781</v>
      </c>
      <c r="T78" s="13">
        <f>60*(S78-37)</f>
        <v>1.4020122484687647</v>
      </c>
      <c r="U78" s="18">
        <v>0.02571064814814815</v>
      </c>
      <c r="V78" s="6">
        <f t="shared" si="45"/>
        <v>74.04673374161563</v>
      </c>
      <c r="W78" s="23">
        <f>60*(V78-74)</f>
        <v>2.8040244969375294</v>
      </c>
      <c r="X78" s="24" t="s">
        <v>50</v>
      </c>
      <c r="Y78" s="6">
        <f t="shared" si="46"/>
        <v>148.09346748323125</v>
      </c>
      <c r="Z78" s="23">
        <f t="shared" si="47"/>
        <v>5.608048993875059</v>
      </c>
      <c r="AA78" s="24" t="s">
        <v>129</v>
      </c>
      <c r="AB78" s="6">
        <f t="shared" si="48"/>
        <v>312.44010416666663</v>
      </c>
      <c r="AC78" s="23">
        <f t="shared" si="49"/>
        <v>26.406249999997726</v>
      </c>
      <c r="AD78" s="24" t="s">
        <v>214</v>
      </c>
      <c r="AE78" s="6">
        <f t="shared" si="50"/>
        <v>370.2336687080781</v>
      </c>
      <c r="AF78" s="13">
        <f t="shared" si="51"/>
        <v>14.02012248468509</v>
      </c>
      <c r="AG78" s="24" t="s">
        <v>301</v>
      </c>
      <c r="AI78" s="8">
        <f t="shared" si="39"/>
        <v>11.916666666666666</v>
      </c>
      <c r="AJ78" s="8">
        <f>55/60</f>
        <v>0.9166666666666666</v>
      </c>
    </row>
    <row r="79" spans="1:36" ht="12.75">
      <c r="A79" s="39">
        <v>0.5</v>
      </c>
      <c r="B79" s="10">
        <v>0.005178240740740741</v>
      </c>
      <c r="C79" s="7">
        <v>0.5</v>
      </c>
      <c r="D79" s="10">
        <v>0.015534722222222222</v>
      </c>
      <c r="E79" s="10">
        <v>0.025890046296296296</v>
      </c>
      <c r="F79" s="26" t="s">
        <v>51</v>
      </c>
      <c r="G79" s="26" t="s">
        <v>130</v>
      </c>
      <c r="H79" s="26" t="s">
        <v>215</v>
      </c>
      <c r="I79" s="26" t="s">
        <v>302</v>
      </c>
      <c r="J79" s="40">
        <v>0.5</v>
      </c>
      <c r="K79" s="2">
        <v>0.5</v>
      </c>
      <c r="L79" s="21">
        <f t="shared" si="40"/>
        <v>7.456454306848007</v>
      </c>
      <c r="M79" s="23">
        <f t="shared" si="41"/>
        <v>27.38725841088044</v>
      </c>
      <c r="N79" s="18">
        <v>0.005178240740740741</v>
      </c>
      <c r="O79" s="2">
        <v>0.5</v>
      </c>
      <c r="P79" s="6">
        <f t="shared" si="42"/>
        <v>22.36936292054402</v>
      </c>
      <c r="Q79" s="13">
        <f t="shared" si="52"/>
        <v>22.16177523264122</v>
      </c>
      <c r="R79" s="10">
        <v>0.015534722222222222</v>
      </c>
      <c r="S79" s="9">
        <f t="shared" si="44"/>
        <v>37.28227153424004</v>
      </c>
      <c r="T79" s="13">
        <f>60*(S79-37)</f>
        <v>16.936292054402315</v>
      </c>
      <c r="U79" s="18">
        <v>0.025890046296296296</v>
      </c>
      <c r="V79" s="6">
        <f t="shared" si="45"/>
        <v>74.56454306848008</v>
      </c>
      <c r="W79" s="23">
        <f>60*(V79-74)</f>
        <v>33.87258410880463</v>
      </c>
      <c r="X79" s="24" t="s">
        <v>51</v>
      </c>
      <c r="Y79" s="6">
        <f t="shared" si="46"/>
        <v>149.12908613696015</v>
      </c>
      <c r="Z79" s="23">
        <f t="shared" si="47"/>
        <v>7.745168217609262</v>
      </c>
      <c r="AA79" s="24" t="s">
        <v>130</v>
      </c>
      <c r="AB79" s="6">
        <f t="shared" si="48"/>
        <v>314.625</v>
      </c>
      <c r="AC79" s="23">
        <f t="shared" si="49"/>
        <v>37.5</v>
      </c>
      <c r="AD79" s="24" t="s">
        <v>215</v>
      </c>
      <c r="AE79" s="6">
        <f t="shared" si="50"/>
        <v>372.82271534240033</v>
      </c>
      <c r="AF79" s="13">
        <f t="shared" si="51"/>
        <v>49.362920544019744</v>
      </c>
      <c r="AG79" s="24" t="s">
        <v>302</v>
      </c>
      <c r="AI79" s="8">
        <f aca="true" t="shared" si="53" ref="AI79:AI90">12+AJ79</f>
        <v>12</v>
      </c>
      <c r="AJ79" s="8">
        <v>0</v>
      </c>
    </row>
    <row r="80" spans="1:36" ht="12.75">
      <c r="A80" s="39">
        <v>0.5034722222222222</v>
      </c>
      <c r="B80" s="10">
        <v>0.00521412037037037</v>
      </c>
      <c r="C80" s="7">
        <v>0.5034722222222222</v>
      </c>
      <c r="D80" s="10">
        <v>0.01564236111111111</v>
      </c>
      <c r="E80" s="10">
        <v>0.026070601851851852</v>
      </c>
      <c r="F80" s="26" t="s">
        <v>52</v>
      </c>
      <c r="G80" s="26" t="s">
        <v>131</v>
      </c>
      <c r="H80" s="26" t="s">
        <v>216</v>
      </c>
      <c r="I80" s="26" t="s">
        <v>303</v>
      </c>
      <c r="J80" s="40">
        <v>0.5034722222222222</v>
      </c>
      <c r="K80" s="2">
        <v>0.5034722222222222</v>
      </c>
      <c r="L80" s="21">
        <f t="shared" si="40"/>
        <v>7.508235239534452</v>
      </c>
      <c r="M80" s="23">
        <f t="shared" si="41"/>
        <v>30.49411437206711</v>
      </c>
      <c r="N80" s="18">
        <v>0.00521412037037037</v>
      </c>
      <c r="O80" s="2">
        <v>0.5034722222222222</v>
      </c>
      <c r="P80" s="6">
        <f t="shared" si="42"/>
        <v>22.524705718603357</v>
      </c>
      <c r="Q80" s="13">
        <f t="shared" si="52"/>
        <v>31.482343116201434</v>
      </c>
      <c r="R80" s="10">
        <v>0.01564236111111111</v>
      </c>
      <c r="S80" s="9">
        <f t="shared" si="44"/>
        <v>37.541176197672264</v>
      </c>
      <c r="T80" s="13">
        <f>60*(S80-37)</f>
        <v>32.470571860335866</v>
      </c>
      <c r="U80" s="18">
        <v>0.026070601851851852</v>
      </c>
      <c r="V80" s="6">
        <f t="shared" si="45"/>
        <v>75.08235239534453</v>
      </c>
      <c r="W80" s="23">
        <f>60*(V80-75)</f>
        <v>4.941143720671732</v>
      </c>
      <c r="X80" s="24" t="s">
        <v>52</v>
      </c>
      <c r="Y80" s="6">
        <f t="shared" si="46"/>
        <v>150.16470479068906</v>
      </c>
      <c r="Z80" s="23">
        <f t="shared" si="47"/>
        <v>9.882287441343465</v>
      </c>
      <c r="AA80" s="24" t="s">
        <v>131</v>
      </c>
      <c r="AB80" s="6">
        <f t="shared" si="48"/>
        <v>316.80989583333337</v>
      </c>
      <c r="AC80" s="23">
        <f t="shared" si="49"/>
        <v>48.593750000002274</v>
      </c>
      <c r="AD80" s="24" t="s">
        <v>216</v>
      </c>
      <c r="AE80" s="6">
        <f t="shared" si="50"/>
        <v>375.41176197672263</v>
      </c>
      <c r="AF80" s="13">
        <f t="shared" si="51"/>
        <v>24.70571860335781</v>
      </c>
      <c r="AG80" s="24" t="s">
        <v>303</v>
      </c>
      <c r="AI80" s="8">
        <f t="shared" si="53"/>
        <v>12.083333333333334</v>
      </c>
      <c r="AJ80" s="8">
        <f>5/60</f>
        <v>0.08333333333333333</v>
      </c>
    </row>
    <row r="81" spans="1:36" ht="12.75">
      <c r="A81" s="39">
        <v>0.5069444444444444</v>
      </c>
      <c r="B81" s="10">
        <v>0.00525</v>
      </c>
      <c r="C81" s="7">
        <v>0.5069444444444444</v>
      </c>
      <c r="D81" s="10">
        <v>0.01575</v>
      </c>
      <c r="E81" s="10">
        <v>0.02625</v>
      </c>
      <c r="F81" s="26" t="s">
        <v>53</v>
      </c>
      <c r="G81" s="26" t="s">
        <v>132</v>
      </c>
      <c r="H81" s="26" t="s">
        <v>217</v>
      </c>
      <c r="I81" s="26" t="s">
        <v>304</v>
      </c>
      <c r="J81" s="40">
        <v>0.5069444444444444</v>
      </c>
      <c r="K81" s="2">
        <v>0.5069444444444444</v>
      </c>
      <c r="L81" s="21">
        <f t="shared" si="40"/>
        <v>7.560016172220895</v>
      </c>
      <c r="M81" s="23">
        <f t="shared" si="41"/>
        <v>33.60097033325373</v>
      </c>
      <c r="N81" s="18">
        <v>0.00525</v>
      </c>
      <c r="O81" s="2">
        <v>0.5069444444444444</v>
      </c>
      <c r="P81" s="6">
        <f t="shared" si="42"/>
        <v>22.680048516662687</v>
      </c>
      <c r="Q81" s="13">
        <f t="shared" si="52"/>
        <v>40.802910999761224</v>
      </c>
      <c r="R81" s="10">
        <v>0.01575</v>
      </c>
      <c r="S81" s="9">
        <f t="shared" si="44"/>
        <v>37.800080861104476</v>
      </c>
      <c r="T81" s="13">
        <f>60*(S81-37)</f>
        <v>48.004851666268564</v>
      </c>
      <c r="U81" s="18">
        <v>0.02625</v>
      </c>
      <c r="V81" s="6">
        <f t="shared" si="45"/>
        <v>75.60016172220895</v>
      </c>
      <c r="W81" s="23">
        <f>60*(V81-75)</f>
        <v>36.00970333253713</v>
      </c>
      <c r="X81" s="24" t="s">
        <v>53</v>
      </c>
      <c r="Y81" s="6">
        <f t="shared" si="46"/>
        <v>151.2003234444179</v>
      </c>
      <c r="Z81" s="23">
        <f t="shared" si="47"/>
        <v>12.019406665074257</v>
      </c>
      <c r="AA81" s="24" t="s">
        <v>132</v>
      </c>
      <c r="AB81" s="6">
        <f t="shared" si="48"/>
        <v>318.99479166666663</v>
      </c>
      <c r="AC81" s="23">
        <f t="shared" si="49"/>
        <v>59.687499999997726</v>
      </c>
      <c r="AD81" s="24" t="s">
        <v>217</v>
      </c>
      <c r="AE81" s="6">
        <f t="shared" si="50"/>
        <v>378.00080861104476</v>
      </c>
      <c r="AF81" s="13">
        <f t="shared" si="51"/>
        <v>0.048516662685642586</v>
      </c>
      <c r="AG81" s="24" t="s">
        <v>304</v>
      </c>
      <c r="AI81" s="8">
        <f t="shared" si="53"/>
        <v>12.166666666666666</v>
      </c>
      <c r="AJ81" s="8">
        <f>1/6</f>
        <v>0.16666666666666666</v>
      </c>
    </row>
    <row r="82" spans="1:36" ht="12.75">
      <c r="A82" s="39">
        <v>0.5104166666666666</v>
      </c>
      <c r="B82" s="10">
        <v>0.00528587962962963</v>
      </c>
      <c r="C82" s="7">
        <v>0.5104166666666666</v>
      </c>
      <c r="D82" s="10">
        <v>0.01585763888888889</v>
      </c>
      <c r="E82" s="10">
        <v>0.026429398148148143</v>
      </c>
      <c r="F82" s="26" t="s">
        <v>54</v>
      </c>
      <c r="G82" s="26" t="s">
        <v>133</v>
      </c>
      <c r="H82" s="26" t="s">
        <v>218</v>
      </c>
      <c r="I82" s="26" t="s">
        <v>305</v>
      </c>
      <c r="J82" s="40">
        <v>0.5104166666666666</v>
      </c>
      <c r="K82" s="2">
        <v>0.5104166666666666</v>
      </c>
      <c r="L82" s="21">
        <f t="shared" si="40"/>
        <v>7.611797104907341</v>
      </c>
      <c r="M82" s="23">
        <f t="shared" si="41"/>
        <v>36.707826294440444</v>
      </c>
      <c r="N82" s="18">
        <v>0.00528587962962963</v>
      </c>
      <c r="O82" s="2">
        <v>0.5104166666666666</v>
      </c>
      <c r="P82" s="6">
        <f t="shared" si="42"/>
        <v>22.835391314722024</v>
      </c>
      <c r="Q82" s="13">
        <f t="shared" si="52"/>
        <v>50.12347888332144</v>
      </c>
      <c r="R82" s="10">
        <v>0.01585763888888889</v>
      </c>
      <c r="S82" s="9">
        <f t="shared" si="44"/>
        <v>38.0589855245367</v>
      </c>
      <c r="T82" s="13">
        <f>60*(S82-38)</f>
        <v>3.539131472202115</v>
      </c>
      <c r="U82" s="18">
        <v>0.026429398148148143</v>
      </c>
      <c r="V82" s="6">
        <f t="shared" si="45"/>
        <v>76.1179710490734</v>
      </c>
      <c r="W82" s="23">
        <f>60*(V82-76)</f>
        <v>7.07826294440423</v>
      </c>
      <c r="X82" s="24" t="s">
        <v>54</v>
      </c>
      <c r="Y82" s="6">
        <f t="shared" si="46"/>
        <v>152.2359420981468</v>
      </c>
      <c r="Z82" s="23">
        <f t="shared" si="47"/>
        <v>14.15652588880846</v>
      </c>
      <c r="AA82" s="24" t="s">
        <v>133</v>
      </c>
      <c r="AB82" s="6">
        <f t="shared" si="48"/>
        <v>321.1796875</v>
      </c>
      <c r="AC82" s="23">
        <f t="shared" si="49"/>
        <v>10.78125</v>
      </c>
      <c r="AD82" s="24" t="s">
        <v>218</v>
      </c>
      <c r="AE82" s="6">
        <f t="shared" si="50"/>
        <v>380.589855245367</v>
      </c>
      <c r="AF82" s="13">
        <f t="shared" si="51"/>
        <v>35.3913147220203</v>
      </c>
      <c r="AG82" s="24" t="s">
        <v>305</v>
      </c>
      <c r="AI82" s="8">
        <f t="shared" si="53"/>
        <v>12.25</v>
      </c>
      <c r="AJ82" s="8">
        <f>15/60</f>
        <v>0.25</v>
      </c>
    </row>
    <row r="83" spans="1:36" ht="12.75">
      <c r="A83" s="39">
        <v>0.513888888888889</v>
      </c>
      <c r="B83" s="10">
        <v>0.005321759259259259</v>
      </c>
      <c r="C83" s="7">
        <v>0.513888888888889</v>
      </c>
      <c r="D83" s="10">
        <v>0.015965277777777776</v>
      </c>
      <c r="E83" s="10">
        <v>0.0266099537037037</v>
      </c>
      <c r="F83" s="26" t="s">
        <v>55</v>
      </c>
      <c r="G83" s="26" t="s">
        <v>134</v>
      </c>
      <c r="H83" s="26" t="s">
        <v>219</v>
      </c>
      <c r="I83" s="26" t="s">
        <v>306</v>
      </c>
      <c r="J83" s="40">
        <v>0.513888888888889</v>
      </c>
      <c r="K83" s="2">
        <v>0.513888888888889</v>
      </c>
      <c r="L83" s="21">
        <f t="shared" si="40"/>
        <v>7.663578037593785</v>
      </c>
      <c r="M83" s="23">
        <f t="shared" si="41"/>
        <v>39.81468225562711</v>
      </c>
      <c r="N83" s="18">
        <v>0.005321759259259259</v>
      </c>
      <c r="O83" s="2">
        <v>0.513888888888889</v>
      </c>
      <c r="P83" s="6">
        <f t="shared" si="42"/>
        <v>22.990734112781357</v>
      </c>
      <c r="Q83" s="13">
        <f t="shared" si="52"/>
        <v>59.44404676688144</v>
      </c>
      <c r="R83" s="10">
        <v>0.015965277777777776</v>
      </c>
      <c r="S83" s="9">
        <f t="shared" si="44"/>
        <v>38.31789018796893</v>
      </c>
      <c r="T83" s="13">
        <f>60*(S83-38)</f>
        <v>19.073411278135666</v>
      </c>
      <c r="U83" s="18">
        <v>0.0266099537037037</v>
      </c>
      <c r="V83" s="6">
        <f t="shared" si="45"/>
        <v>76.63578037593786</v>
      </c>
      <c r="W83" s="23">
        <f>60*(V83-76)</f>
        <v>38.14682255627133</v>
      </c>
      <c r="X83" s="24" t="s">
        <v>55</v>
      </c>
      <c r="Y83" s="6">
        <f t="shared" si="46"/>
        <v>153.2715607518757</v>
      </c>
      <c r="Z83" s="23">
        <f t="shared" si="47"/>
        <v>16.293645112542663</v>
      </c>
      <c r="AA83" s="24" t="s">
        <v>134</v>
      </c>
      <c r="AB83" s="6">
        <f t="shared" si="48"/>
        <v>323.36458333333337</v>
      </c>
      <c r="AC83" s="23">
        <f t="shared" si="49"/>
        <v>21.875000000002274</v>
      </c>
      <c r="AD83" s="24" t="s">
        <v>219</v>
      </c>
      <c r="AE83" s="6">
        <f t="shared" si="50"/>
        <v>383.1789018796893</v>
      </c>
      <c r="AF83" s="13">
        <f t="shared" si="51"/>
        <v>10.734112781358363</v>
      </c>
      <c r="AG83" s="24" t="s">
        <v>306</v>
      </c>
      <c r="AI83" s="8">
        <f t="shared" si="53"/>
        <v>12.333333333333334</v>
      </c>
      <c r="AJ83" s="8">
        <f>20/60</f>
        <v>0.3333333333333333</v>
      </c>
    </row>
    <row r="84" spans="1:36" ht="12.75">
      <c r="A84" s="41">
        <v>0.517361111111111</v>
      </c>
      <c r="B84" s="29">
        <v>0.005357638888888888</v>
      </c>
      <c r="C84" s="28">
        <v>0.517361111111111</v>
      </c>
      <c r="D84" s="29">
        <v>0.016074074074074077</v>
      </c>
      <c r="E84" s="29">
        <v>0.026789351851851852</v>
      </c>
      <c r="F84" s="25" t="s">
        <v>56</v>
      </c>
      <c r="G84" s="25" t="s">
        <v>135</v>
      </c>
      <c r="H84" s="25" t="s">
        <v>220</v>
      </c>
      <c r="I84" s="25" t="s">
        <v>307</v>
      </c>
      <c r="J84" s="42">
        <v>0.517361111111111</v>
      </c>
      <c r="K84" s="2">
        <v>0.517361111111111</v>
      </c>
      <c r="L84" s="21">
        <f t="shared" si="40"/>
        <v>7.71535897028023</v>
      </c>
      <c r="M84" s="23">
        <f t="shared" si="41"/>
        <v>42.92153821681378</v>
      </c>
      <c r="N84" s="18">
        <v>0.005357638888888888</v>
      </c>
      <c r="O84" s="2">
        <v>0.517361111111111</v>
      </c>
      <c r="P84" s="6">
        <f t="shared" si="42"/>
        <v>23.146076910840687</v>
      </c>
      <c r="Q84" s="13">
        <f aca="true" t="shared" si="54" ref="Q84:Q89">(P84-23)*60</f>
        <v>8.764614650441231</v>
      </c>
      <c r="R84" s="10">
        <v>0.016074074074074077</v>
      </c>
      <c r="S84" s="9">
        <f t="shared" si="44"/>
        <v>38.57679485140115</v>
      </c>
      <c r="T84" s="13">
        <f>60*(S84-38)</f>
        <v>34.60769108406879</v>
      </c>
      <c r="U84" s="18">
        <v>0.026789351851851852</v>
      </c>
      <c r="V84" s="6">
        <f t="shared" si="45"/>
        <v>77.1535897028023</v>
      </c>
      <c r="W84" s="23">
        <f>60*(V84-77)</f>
        <v>9.21538216813758</v>
      </c>
      <c r="X84" s="24" t="s">
        <v>56</v>
      </c>
      <c r="Y84" s="6">
        <f t="shared" si="46"/>
        <v>154.3071794056046</v>
      </c>
      <c r="Z84" s="23">
        <f t="shared" si="47"/>
        <v>18.43076433627516</v>
      </c>
      <c r="AA84" s="24" t="s">
        <v>135</v>
      </c>
      <c r="AB84" s="6">
        <f t="shared" si="48"/>
        <v>325.54947916666663</v>
      </c>
      <c r="AC84" s="23">
        <f t="shared" si="49"/>
        <v>32.968749999997726</v>
      </c>
      <c r="AD84" s="24" t="s">
        <v>220</v>
      </c>
      <c r="AE84" s="6">
        <f t="shared" si="50"/>
        <v>385.76794851401144</v>
      </c>
      <c r="AF84" s="13">
        <f t="shared" si="51"/>
        <v>46.076910840686196</v>
      </c>
      <c r="AG84" s="24" t="s">
        <v>307</v>
      </c>
      <c r="AI84" s="8">
        <f t="shared" si="53"/>
        <v>12.416666666666666</v>
      </c>
      <c r="AJ84" s="8">
        <f>25/60</f>
        <v>0.4166666666666667</v>
      </c>
    </row>
    <row r="85" spans="1:36" ht="12.75">
      <c r="A85" s="39">
        <v>0.5208333333333334</v>
      </c>
      <c r="B85" s="10">
        <v>0.005393518518518519</v>
      </c>
      <c r="C85" s="7">
        <v>0.5208333333333334</v>
      </c>
      <c r="D85" s="10">
        <v>0.016181712962962964</v>
      </c>
      <c r="E85" s="10">
        <v>0.02696875</v>
      </c>
      <c r="F85" s="26" t="s">
        <v>57</v>
      </c>
      <c r="G85" s="26" t="s">
        <v>136</v>
      </c>
      <c r="H85" s="26" t="s">
        <v>221</v>
      </c>
      <c r="I85" s="26" t="s">
        <v>308</v>
      </c>
      <c r="J85" s="40">
        <v>0.5208333333333334</v>
      </c>
      <c r="K85" s="2">
        <v>0.5208333333333334</v>
      </c>
      <c r="L85" s="21">
        <f t="shared" si="40"/>
        <v>7.767139902966674</v>
      </c>
      <c r="M85" s="23">
        <f t="shared" si="41"/>
        <v>46.02839417800045</v>
      </c>
      <c r="N85" s="18">
        <v>0.005393518518518519</v>
      </c>
      <c r="O85" s="2">
        <v>0.5208333333333334</v>
      </c>
      <c r="P85" s="6">
        <f t="shared" si="42"/>
        <v>23.301419708900024</v>
      </c>
      <c r="Q85" s="13">
        <f t="shared" si="54"/>
        <v>18.085182534001447</v>
      </c>
      <c r="R85" s="10">
        <v>0.016181712962962964</v>
      </c>
      <c r="S85" s="9">
        <f t="shared" si="44"/>
        <v>38.83569951483337</v>
      </c>
      <c r="T85" s="13">
        <f>60*(S85-38)</f>
        <v>50.14197089000234</v>
      </c>
      <c r="U85" s="18">
        <v>0.02696875</v>
      </c>
      <c r="V85" s="6">
        <f t="shared" si="45"/>
        <v>77.67139902966674</v>
      </c>
      <c r="W85" s="23">
        <f>60*(V85-77)</f>
        <v>40.28394178000468</v>
      </c>
      <c r="X85" s="24" t="s">
        <v>57</v>
      </c>
      <c r="Y85" s="6">
        <f t="shared" si="46"/>
        <v>155.3427980593335</v>
      </c>
      <c r="Z85" s="23">
        <f t="shared" si="47"/>
        <v>20.567883560009363</v>
      </c>
      <c r="AA85" s="24" t="s">
        <v>136</v>
      </c>
      <c r="AB85" s="6">
        <f t="shared" si="48"/>
        <v>327.734375</v>
      </c>
      <c r="AC85" s="23">
        <f t="shared" si="49"/>
        <v>44.0625</v>
      </c>
      <c r="AD85" s="24" t="s">
        <v>221</v>
      </c>
      <c r="AE85" s="6">
        <f t="shared" si="50"/>
        <v>388.3569951483337</v>
      </c>
      <c r="AF85" s="13">
        <f t="shared" si="51"/>
        <v>21.41970890002085</v>
      </c>
      <c r="AG85" s="24" t="s">
        <v>308</v>
      </c>
      <c r="AI85" s="8">
        <f t="shared" si="53"/>
        <v>12.5</v>
      </c>
      <c r="AJ85" s="8">
        <f>3/6</f>
        <v>0.5</v>
      </c>
    </row>
    <row r="86" spans="1:36" ht="12.75">
      <c r="A86" s="39">
        <v>0.5243055555555556</v>
      </c>
      <c r="B86" s="10">
        <v>0.0054293981481481485</v>
      </c>
      <c r="C86" s="7">
        <v>0.5243055555555556</v>
      </c>
      <c r="D86" s="10">
        <v>0.01628935185185185</v>
      </c>
      <c r="E86" s="10">
        <v>0.027149305555555555</v>
      </c>
      <c r="F86" s="26" t="s">
        <v>58</v>
      </c>
      <c r="G86" s="26" t="s">
        <v>137</v>
      </c>
      <c r="H86" s="26" t="s">
        <v>222</v>
      </c>
      <c r="I86" s="26" t="s">
        <v>309</v>
      </c>
      <c r="J86" s="40">
        <v>0.5243055555555556</v>
      </c>
      <c r="K86" s="2">
        <v>0.5243055555555556</v>
      </c>
      <c r="L86" s="21">
        <f t="shared" si="40"/>
        <v>7.818920835653119</v>
      </c>
      <c r="M86" s="23">
        <f t="shared" si="41"/>
        <v>49.135250139187114</v>
      </c>
      <c r="N86" s="18">
        <v>0.0054293981481481485</v>
      </c>
      <c r="O86" s="2">
        <v>0.5243055555555556</v>
      </c>
      <c r="P86" s="6">
        <f t="shared" si="42"/>
        <v>23.456762506959357</v>
      </c>
      <c r="Q86" s="13">
        <f t="shared" si="54"/>
        <v>27.40575041756145</v>
      </c>
      <c r="R86" s="10">
        <v>0.01628935185185185</v>
      </c>
      <c r="S86" s="9">
        <f t="shared" si="44"/>
        <v>39.0946041782656</v>
      </c>
      <c r="T86" s="13">
        <f>60*(S86-39)</f>
        <v>5.676250695935892</v>
      </c>
      <c r="U86" s="18">
        <v>0.027149305555555555</v>
      </c>
      <c r="V86" s="6">
        <f t="shared" si="45"/>
        <v>78.1892083565312</v>
      </c>
      <c r="W86" s="23">
        <f>60*(V86-78)</f>
        <v>11.352501391871783</v>
      </c>
      <c r="X86" s="24" t="s">
        <v>58</v>
      </c>
      <c r="Y86" s="6">
        <f t="shared" si="46"/>
        <v>156.3784167130624</v>
      </c>
      <c r="Z86" s="23">
        <f t="shared" si="47"/>
        <v>22.705002783743566</v>
      </c>
      <c r="AA86" s="24" t="s">
        <v>137</v>
      </c>
      <c r="AB86" s="6">
        <f t="shared" si="48"/>
        <v>329.91927083333337</v>
      </c>
      <c r="AC86" s="23">
        <f t="shared" si="49"/>
        <v>55.156250000002274</v>
      </c>
      <c r="AD86" s="24" t="s">
        <v>222</v>
      </c>
      <c r="AE86" s="6">
        <f t="shared" si="50"/>
        <v>390.946041782656</v>
      </c>
      <c r="AF86" s="13">
        <f t="shared" si="51"/>
        <v>56.762506959358916</v>
      </c>
      <c r="AG86" s="24" t="s">
        <v>309</v>
      </c>
      <c r="AI86" s="8">
        <f t="shared" si="53"/>
        <v>12.583333333333334</v>
      </c>
      <c r="AJ86" s="8">
        <f>35/60</f>
        <v>0.5833333333333334</v>
      </c>
    </row>
    <row r="87" spans="1:36" ht="12.75">
      <c r="A87" s="39">
        <v>0.5277777777777778</v>
      </c>
      <c r="B87" s="10">
        <v>0.005465277777777778</v>
      </c>
      <c r="C87" s="7">
        <v>0.5277777777777778</v>
      </c>
      <c r="D87" s="10">
        <v>0.016396990740740743</v>
      </c>
      <c r="E87" s="10">
        <v>0.027328703703703702</v>
      </c>
      <c r="F87" s="26" t="s">
        <v>59</v>
      </c>
      <c r="G87" s="26" t="s">
        <v>138</v>
      </c>
      <c r="H87" s="26" t="s">
        <v>223</v>
      </c>
      <c r="I87" s="26" t="s">
        <v>310</v>
      </c>
      <c r="J87" s="40">
        <v>0.5277777777777778</v>
      </c>
      <c r="K87" s="2">
        <v>0.5277777777777778</v>
      </c>
      <c r="L87" s="21">
        <f t="shared" si="40"/>
        <v>7.870701768339563</v>
      </c>
      <c r="M87" s="23">
        <f t="shared" si="41"/>
        <v>52.24210610037378</v>
      </c>
      <c r="N87" s="18">
        <v>0.005465277777777778</v>
      </c>
      <c r="O87" s="2">
        <v>0.5277777777777778</v>
      </c>
      <c r="P87" s="6">
        <f t="shared" si="42"/>
        <v>23.612105305018687</v>
      </c>
      <c r="Q87" s="13">
        <f t="shared" si="54"/>
        <v>36.72631830112124</v>
      </c>
      <c r="R87" s="10">
        <v>0.016396990740740743</v>
      </c>
      <c r="S87" s="9">
        <f t="shared" si="44"/>
        <v>39.35350884169781</v>
      </c>
      <c r="T87" s="13">
        <f>60*(S87-39)</f>
        <v>21.21053050186859</v>
      </c>
      <c r="U87" s="18">
        <v>0.027328703703703702</v>
      </c>
      <c r="V87" s="6">
        <f t="shared" si="45"/>
        <v>78.70701768339562</v>
      </c>
      <c r="W87" s="23">
        <f>60*(V87-78)</f>
        <v>42.42106100373718</v>
      </c>
      <c r="X87" s="24" t="s">
        <v>59</v>
      </c>
      <c r="Y87" s="6">
        <f t="shared" si="46"/>
        <v>157.41403536679124</v>
      </c>
      <c r="Z87" s="23">
        <f t="shared" si="47"/>
        <v>24.84212200747436</v>
      </c>
      <c r="AA87" s="24" t="s">
        <v>138</v>
      </c>
      <c r="AB87" s="6">
        <f t="shared" si="48"/>
        <v>332.10416666666663</v>
      </c>
      <c r="AC87" s="23">
        <f t="shared" si="49"/>
        <v>6.249999999997726</v>
      </c>
      <c r="AD87" s="24" t="s">
        <v>223</v>
      </c>
      <c r="AE87" s="6">
        <f t="shared" si="50"/>
        <v>393.5350884169781</v>
      </c>
      <c r="AF87" s="13">
        <f t="shared" si="51"/>
        <v>32.10530501868675</v>
      </c>
      <c r="AG87" s="24" t="s">
        <v>310</v>
      </c>
      <c r="AI87" s="8">
        <f t="shared" si="53"/>
        <v>12.666666666666666</v>
      </c>
      <c r="AJ87" s="8">
        <f>4/6</f>
        <v>0.6666666666666666</v>
      </c>
    </row>
    <row r="88" spans="1:36" ht="12.75">
      <c r="A88" s="39">
        <v>0.53125</v>
      </c>
      <c r="B88" s="10">
        <v>0.005501157407407407</v>
      </c>
      <c r="C88" s="7">
        <v>0.53125</v>
      </c>
      <c r="D88" s="10">
        <v>0.01650462962962963</v>
      </c>
      <c r="E88" s="10">
        <v>0.02750810185185185</v>
      </c>
      <c r="F88" s="26" t="s">
        <v>60</v>
      </c>
      <c r="G88" s="26" t="s">
        <v>139</v>
      </c>
      <c r="H88" s="26" t="s">
        <v>224</v>
      </c>
      <c r="I88" s="26" t="s">
        <v>311</v>
      </c>
      <c r="J88" s="40">
        <v>0.53125</v>
      </c>
      <c r="K88" s="2">
        <v>0.53125</v>
      </c>
      <c r="L88" s="21">
        <f t="shared" si="40"/>
        <v>7.9224827010260075</v>
      </c>
      <c r="M88" s="23">
        <f t="shared" si="41"/>
        <v>55.34896206156045</v>
      </c>
      <c r="N88" s="18">
        <v>0.005501157407407407</v>
      </c>
      <c r="O88" s="2">
        <v>0.53125</v>
      </c>
      <c r="P88" s="6">
        <f t="shared" si="42"/>
        <v>23.767448103078024</v>
      </c>
      <c r="Q88" s="13">
        <f t="shared" si="54"/>
        <v>46.046886184681455</v>
      </c>
      <c r="R88" s="10">
        <v>0.01650462962962963</v>
      </c>
      <c r="S88" s="9">
        <f t="shared" si="44"/>
        <v>39.612413505130036</v>
      </c>
      <c r="T88" s="13">
        <f>60*(S88-39)</f>
        <v>36.74481030780214</v>
      </c>
      <c r="U88" s="18">
        <v>0.02750810185185185</v>
      </c>
      <c r="V88" s="6">
        <f t="shared" si="45"/>
        <v>79.22482701026007</v>
      </c>
      <c r="W88" s="23">
        <f>60*(V88-79)</f>
        <v>13.48962061560428</v>
      </c>
      <c r="X88" s="24" t="s">
        <v>60</v>
      </c>
      <c r="Y88" s="6">
        <f t="shared" si="46"/>
        <v>158.44965402052014</v>
      </c>
      <c r="Z88" s="23">
        <f t="shared" si="47"/>
        <v>26.97924123120856</v>
      </c>
      <c r="AA88" s="24" t="s">
        <v>139</v>
      </c>
      <c r="AB88" s="6">
        <f t="shared" si="48"/>
        <v>334.2890625</v>
      </c>
      <c r="AC88" s="23">
        <f t="shared" si="49"/>
        <v>17.34375</v>
      </c>
      <c r="AD88" s="24" t="s">
        <v>224</v>
      </c>
      <c r="AE88" s="6">
        <f t="shared" si="50"/>
        <v>396.12413505130036</v>
      </c>
      <c r="AF88" s="13">
        <f t="shared" si="51"/>
        <v>7.448103078021404</v>
      </c>
      <c r="AG88" s="24" t="s">
        <v>311</v>
      </c>
      <c r="AI88" s="8">
        <f t="shared" si="53"/>
        <v>12.75</v>
      </c>
      <c r="AJ88" s="8">
        <f>45/60</f>
        <v>0.75</v>
      </c>
    </row>
    <row r="89" spans="1:36" ht="12.75">
      <c r="A89" s="39">
        <v>0.5347222222222222</v>
      </c>
      <c r="B89" s="10">
        <v>0.005538194444444444</v>
      </c>
      <c r="C89" s="7">
        <v>0.5347222222222222</v>
      </c>
      <c r="D89" s="10">
        <v>0.016613425925925924</v>
      </c>
      <c r="E89" s="10">
        <v>0.02768865740740741</v>
      </c>
      <c r="F89" s="26" t="s">
        <v>61</v>
      </c>
      <c r="G89" s="26" t="s">
        <v>140</v>
      </c>
      <c r="H89" s="26" t="s">
        <v>225</v>
      </c>
      <c r="I89" s="26" t="s">
        <v>312</v>
      </c>
      <c r="J89" s="40">
        <v>0.5347222222222222</v>
      </c>
      <c r="K89" s="2">
        <v>0.5347222222222222</v>
      </c>
      <c r="L89" s="21">
        <f t="shared" si="40"/>
        <v>7.974263633712453</v>
      </c>
      <c r="M89" s="23">
        <f t="shared" si="41"/>
        <v>58.45581802274717</v>
      </c>
      <c r="N89" s="18">
        <v>0.005538194444444444</v>
      </c>
      <c r="O89" s="2">
        <v>0.5347222222222222</v>
      </c>
      <c r="P89" s="6">
        <f t="shared" si="42"/>
        <v>23.922790901137358</v>
      </c>
      <c r="Q89" s="13">
        <f t="shared" si="54"/>
        <v>55.36745406824146</v>
      </c>
      <c r="R89" s="10">
        <v>0.016613425925925924</v>
      </c>
      <c r="S89" s="9">
        <f t="shared" si="44"/>
        <v>39.87131816856226</v>
      </c>
      <c r="T89" s="13">
        <f>60*(S89-39)</f>
        <v>52.27909011373569</v>
      </c>
      <c r="U89" s="18">
        <v>0.02768865740740741</v>
      </c>
      <c r="V89" s="6">
        <f t="shared" si="45"/>
        <v>79.74263633712452</v>
      </c>
      <c r="W89" s="23">
        <f>60*(V89-79)</f>
        <v>44.55818022747138</v>
      </c>
      <c r="X89" s="24" t="s">
        <v>61</v>
      </c>
      <c r="Y89" s="6">
        <f t="shared" si="46"/>
        <v>159.48527267424905</v>
      </c>
      <c r="Z89" s="23">
        <f t="shared" si="47"/>
        <v>29.116360454942765</v>
      </c>
      <c r="AA89" s="24" t="s">
        <v>140</v>
      </c>
      <c r="AB89" s="6">
        <f t="shared" si="48"/>
        <v>336.47395833333337</v>
      </c>
      <c r="AC89" s="23">
        <f t="shared" si="49"/>
        <v>28.437500000002274</v>
      </c>
      <c r="AD89" s="24" t="s">
        <v>225</v>
      </c>
      <c r="AE89" s="6">
        <f t="shared" si="50"/>
        <v>398.71318168562266</v>
      </c>
      <c r="AF89" s="13">
        <f t="shared" si="51"/>
        <v>42.79090113735947</v>
      </c>
      <c r="AG89" s="24" t="s">
        <v>312</v>
      </c>
      <c r="AI89" s="8">
        <f t="shared" si="53"/>
        <v>12.833333333333334</v>
      </c>
      <c r="AJ89" s="8">
        <f>50/60</f>
        <v>0.8333333333333334</v>
      </c>
    </row>
    <row r="90" spans="1:36" ht="12.75">
      <c r="A90" s="41">
        <v>0.5381944444444444</v>
      </c>
      <c r="B90" s="29">
        <v>0.005574074074074075</v>
      </c>
      <c r="C90" s="28">
        <v>0.5381944444444444</v>
      </c>
      <c r="D90" s="29">
        <v>0.016721064814814814</v>
      </c>
      <c r="E90" s="29">
        <v>0.02786805555555556</v>
      </c>
      <c r="F90" s="25" t="s">
        <v>62</v>
      </c>
      <c r="G90" s="25" t="s">
        <v>141</v>
      </c>
      <c r="H90" s="25" t="s">
        <v>226</v>
      </c>
      <c r="I90" s="25" t="s">
        <v>252</v>
      </c>
      <c r="J90" s="42">
        <v>0.5381944444444444</v>
      </c>
      <c r="K90" s="2">
        <v>0.5381944444444444</v>
      </c>
      <c r="L90" s="21">
        <f t="shared" si="40"/>
        <v>8.026044566398896</v>
      </c>
      <c r="M90" s="23">
        <f>60*(L90-8)</f>
        <v>1.5626739839337844</v>
      </c>
      <c r="N90" s="18">
        <v>0.005574074074074075</v>
      </c>
      <c r="O90" s="2">
        <v>0.5381944444444444</v>
      </c>
      <c r="P90" s="6">
        <f t="shared" si="42"/>
        <v>24.07813369919669</v>
      </c>
      <c r="Q90" s="13">
        <f>(P90-24)*60</f>
        <v>4.68802195180146</v>
      </c>
      <c r="R90" s="10">
        <v>0.016721064814814814</v>
      </c>
      <c r="S90" s="9">
        <f t="shared" si="44"/>
        <v>40.13022283199448</v>
      </c>
      <c r="T90" s="13">
        <f>60*(S90-40)</f>
        <v>7.8133699196688156</v>
      </c>
      <c r="U90" s="18">
        <v>0.02786805555555556</v>
      </c>
      <c r="V90" s="6">
        <f t="shared" si="45"/>
        <v>80.26044566398896</v>
      </c>
      <c r="W90" s="23">
        <f>60*(V90-80)</f>
        <v>15.626739839337631</v>
      </c>
      <c r="X90" s="24" t="s">
        <v>62</v>
      </c>
      <c r="Y90" s="6">
        <f t="shared" si="46"/>
        <v>160.52089132797792</v>
      </c>
      <c r="Z90" s="23">
        <f t="shared" si="47"/>
        <v>31.253479678675262</v>
      </c>
      <c r="AA90" s="24" t="s">
        <v>141</v>
      </c>
      <c r="AB90" s="6">
        <f t="shared" si="48"/>
        <v>338.65885416666663</v>
      </c>
      <c r="AC90" s="23">
        <f t="shared" si="49"/>
        <v>39.531249999997726</v>
      </c>
      <c r="AD90" s="24" t="s">
        <v>226</v>
      </c>
      <c r="AE90" s="6">
        <f t="shared" si="50"/>
        <v>401.3022283199448</v>
      </c>
      <c r="AF90" s="13">
        <f t="shared" si="51"/>
        <v>18.133699196687303</v>
      </c>
      <c r="AG90" s="24" t="s">
        <v>252</v>
      </c>
      <c r="AI90" s="8">
        <f t="shared" si="53"/>
        <v>12.916666666666666</v>
      </c>
      <c r="AJ90" s="8">
        <f>55/60</f>
        <v>0.9166666666666666</v>
      </c>
    </row>
    <row r="91" spans="1:36" ht="12.75">
      <c r="A91" s="39">
        <v>0.5416666666666666</v>
      </c>
      <c r="B91" s="10">
        <v>0.005609953703703704</v>
      </c>
      <c r="C91" s="7">
        <v>0.5416666666666666</v>
      </c>
      <c r="D91" s="10">
        <v>0.016828703703703703</v>
      </c>
      <c r="E91" s="10">
        <v>0.028047453703703706</v>
      </c>
      <c r="F91" s="26" t="s">
        <v>63</v>
      </c>
      <c r="G91" s="26" t="s">
        <v>142</v>
      </c>
      <c r="H91" s="26" t="s">
        <v>227</v>
      </c>
      <c r="I91" s="26" t="s">
        <v>253</v>
      </c>
      <c r="J91" s="40">
        <v>0.5416666666666666</v>
      </c>
      <c r="K91" s="2">
        <v>0.5416666666666666</v>
      </c>
      <c r="L91" s="21">
        <f t="shared" si="40"/>
        <v>8.07782549908534</v>
      </c>
      <c r="M91" s="23">
        <f>60*(L91-8)</f>
        <v>4.669529945120452</v>
      </c>
      <c r="N91" s="18">
        <v>0.005609953703703704</v>
      </c>
      <c r="O91" s="2">
        <v>0.5416666666666666</v>
      </c>
      <c r="P91" s="6">
        <f t="shared" si="42"/>
        <v>24.233476497256024</v>
      </c>
      <c r="Q91" s="13">
        <f>(P91-24)*60</f>
        <v>14.008589835361462</v>
      </c>
      <c r="R91" s="18">
        <v>0.016828703703703703</v>
      </c>
      <c r="S91" s="9">
        <f t="shared" si="44"/>
        <v>40.389127495426706</v>
      </c>
      <c r="T91" s="13">
        <f>60*(S91-40)</f>
        <v>23.347649725602366</v>
      </c>
      <c r="U91" s="18">
        <v>0.028047453703703706</v>
      </c>
      <c r="V91" s="6">
        <f t="shared" si="45"/>
        <v>80.77825499085341</v>
      </c>
      <c r="W91" s="23">
        <f>60*(V91-80)</f>
        <v>46.69529945120473</v>
      </c>
      <c r="X91" s="24" t="s">
        <v>63</v>
      </c>
      <c r="Y91" s="6">
        <f t="shared" si="46"/>
        <v>161.55650998170682</v>
      </c>
      <c r="Z91" s="23">
        <f t="shared" si="47"/>
        <v>33.390598902409465</v>
      </c>
      <c r="AA91" s="24" t="s">
        <v>142</v>
      </c>
      <c r="AB91" s="6">
        <f t="shared" si="48"/>
        <v>340.84375</v>
      </c>
      <c r="AC91" s="23">
        <f t="shared" si="49"/>
        <v>50.625</v>
      </c>
      <c r="AD91" s="24" t="s">
        <v>227</v>
      </c>
      <c r="AE91" s="6">
        <f t="shared" si="50"/>
        <v>403.89127495426703</v>
      </c>
      <c r="AF91" s="13">
        <f t="shared" si="51"/>
        <v>53.47649725602196</v>
      </c>
      <c r="AG91" s="24" t="s">
        <v>253</v>
      </c>
      <c r="AI91" s="8">
        <v>13</v>
      </c>
      <c r="AJ91" s="8">
        <v>0</v>
      </c>
    </row>
    <row r="92" spans="1:35" ht="12.75">
      <c r="A92" s="45">
        <v>0.5833333333333334</v>
      </c>
      <c r="B92" s="46">
        <v>0.0060416666666666665</v>
      </c>
      <c r="C92" s="47">
        <v>0.5833333333333334</v>
      </c>
      <c r="D92" s="46">
        <v>0.01812384259259259</v>
      </c>
      <c r="E92" s="46">
        <v>0.03020601851851852</v>
      </c>
      <c r="F92" s="48" t="s">
        <v>70</v>
      </c>
      <c r="G92" s="48" t="s">
        <v>314</v>
      </c>
      <c r="H92" s="48" t="s">
        <v>315</v>
      </c>
      <c r="I92" s="48" t="s">
        <v>317</v>
      </c>
      <c r="J92" s="49">
        <v>0.5833333333333334</v>
      </c>
      <c r="K92" s="1">
        <v>14</v>
      </c>
      <c r="L92" s="19">
        <f t="shared" si="40"/>
        <v>8.699196691322674</v>
      </c>
      <c r="M92" s="23">
        <f>60*(L92-8)</f>
        <v>41.95180147936046</v>
      </c>
      <c r="N92" s="18">
        <v>0.0060416666666666665</v>
      </c>
      <c r="O92" s="2">
        <v>0.5833333333333334</v>
      </c>
      <c r="P92" s="43">
        <f t="shared" si="42"/>
        <v>26.097590073968025</v>
      </c>
      <c r="Q92" s="13">
        <f>(P92-26)*60</f>
        <v>5.855404438081493</v>
      </c>
      <c r="R92" s="18">
        <v>0.01812384259259259</v>
      </c>
      <c r="S92" s="44">
        <f t="shared" si="44"/>
        <v>43.495983456613374</v>
      </c>
      <c r="T92" s="13">
        <f>60*(S92-43)</f>
        <v>29.759007396802417</v>
      </c>
      <c r="U92" s="18">
        <v>0.03020601851851852</v>
      </c>
      <c r="V92" s="43">
        <f t="shared" si="45"/>
        <v>86.99196691322675</v>
      </c>
      <c r="W92" s="23">
        <f>60*(V92-86)</f>
        <v>59.518014793604834</v>
      </c>
      <c r="X92" s="24" t="s">
        <v>70</v>
      </c>
      <c r="Y92" s="43">
        <f t="shared" si="46"/>
        <v>173.9839338264535</v>
      </c>
      <c r="Z92" s="11">
        <f t="shared" si="47"/>
        <v>59.03602958720967</v>
      </c>
      <c r="AA92" s="24" t="s">
        <v>314</v>
      </c>
      <c r="AB92" s="43">
        <f t="shared" si="48"/>
        <v>367.0625</v>
      </c>
      <c r="AC92" s="23">
        <f t="shared" si="49"/>
        <v>3.75</v>
      </c>
      <c r="AD92" s="24" t="s">
        <v>315</v>
      </c>
      <c r="AE92" s="43">
        <f t="shared" si="50"/>
        <v>434.95983456613374</v>
      </c>
      <c r="AF92" s="14">
        <f t="shared" si="51"/>
        <v>57.59007396802417</v>
      </c>
      <c r="AG92" s="24" t="s">
        <v>317</v>
      </c>
      <c r="AI92" s="8">
        <v>14</v>
      </c>
    </row>
    <row r="93" spans="1:35" ht="12.75">
      <c r="A93" s="41">
        <v>0.625</v>
      </c>
      <c r="B93" s="29">
        <v>0.006472222222222223</v>
      </c>
      <c r="C93" s="28">
        <v>0.625</v>
      </c>
      <c r="D93" s="29">
        <v>0.019417824074074073</v>
      </c>
      <c r="E93" s="29">
        <v>0.03236342592592593</v>
      </c>
      <c r="F93" s="25" t="s">
        <v>76</v>
      </c>
      <c r="G93" s="25" t="s">
        <v>228</v>
      </c>
      <c r="H93" s="25" t="s">
        <v>316</v>
      </c>
      <c r="I93" s="25" t="s">
        <v>318</v>
      </c>
      <c r="J93" s="42">
        <v>0.625</v>
      </c>
      <c r="K93" s="1">
        <v>15</v>
      </c>
      <c r="L93" s="19">
        <f t="shared" si="40"/>
        <v>9.32056788356001</v>
      </c>
      <c r="M93" s="23">
        <f>60*(L93-9)</f>
        <v>19.23407301360058</v>
      </c>
      <c r="N93" s="18">
        <v>0.006472222222222223</v>
      </c>
      <c r="O93" s="2">
        <v>0.625</v>
      </c>
      <c r="P93" s="43">
        <f t="shared" si="42"/>
        <v>27.96170365068003</v>
      </c>
      <c r="Q93" s="13">
        <f>(P93-27)*60</f>
        <v>57.70221904080174</v>
      </c>
      <c r="R93" s="18">
        <v>0.019417824074074073</v>
      </c>
      <c r="S93" s="44">
        <f t="shared" si="44"/>
        <v>46.60283941780004</v>
      </c>
      <c r="T93" s="13">
        <f>60*(S93-46)</f>
        <v>36.17036506800247</v>
      </c>
      <c r="U93" s="18">
        <v>0.03236342592592593</v>
      </c>
      <c r="V93" s="43">
        <f t="shared" si="45"/>
        <v>93.20567883560008</v>
      </c>
      <c r="W93" s="23">
        <f>60*(V93-93)</f>
        <v>12.340730136004936</v>
      </c>
      <c r="X93" s="24" t="s">
        <v>76</v>
      </c>
      <c r="Y93" s="43">
        <f t="shared" si="46"/>
        <v>186.41135767120016</v>
      </c>
      <c r="Z93" s="11">
        <f t="shared" si="47"/>
        <v>24.681460272009872</v>
      </c>
      <c r="AA93" s="24" t="s">
        <v>228</v>
      </c>
      <c r="AB93" s="43">
        <f t="shared" si="48"/>
        <v>393.28125</v>
      </c>
      <c r="AC93" s="23">
        <f t="shared" si="49"/>
        <v>16.875</v>
      </c>
      <c r="AD93" s="24" t="s">
        <v>316</v>
      </c>
      <c r="AE93" s="43">
        <f t="shared" si="50"/>
        <v>466.02839417800044</v>
      </c>
      <c r="AF93" s="14">
        <f t="shared" si="51"/>
        <v>1.703650680026385</v>
      </c>
      <c r="AG93" s="24" t="s">
        <v>318</v>
      </c>
      <c r="AI93" s="8">
        <v>15</v>
      </c>
    </row>
    <row r="94" spans="11:35" ht="12.75">
      <c r="K94" s="1" t="s">
        <v>0</v>
      </c>
      <c r="L94" s="19" t="s">
        <v>0</v>
      </c>
      <c r="N94" s="15" t="s">
        <v>0</v>
      </c>
      <c r="O94" s="1" t="s">
        <v>2</v>
      </c>
      <c r="P94" s="1" t="s">
        <v>2</v>
      </c>
      <c r="Q94" s="11" t="s">
        <v>12</v>
      </c>
      <c r="R94" s="1" t="s">
        <v>2</v>
      </c>
      <c r="S94" s="1" t="s">
        <v>2</v>
      </c>
      <c r="T94" s="11" t="s">
        <v>12</v>
      </c>
      <c r="U94" s="15" t="s">
        <v>2</v>
      </c>
      <c r="V94" s="1" t="s">
        <v>2</v>
      </c>
      <c r="W94" s="11" t="s">
        <v>12</v>
      </c>
      <c r="X94" s="1" t="s">
        <v>2</v>
      </c>
      <c r="Y94" s="1" t="s">
        <v>2</v>
      </c>
      <c r="Z94" s="11" t="s">
        <v>12</v>
      </c>
      <c r="AA94" s="24" t="s">
        <v>2</v>
      </c>
      <c r="AB94" s="1" t="s">
        <v>2</v>
      </c>
      <c r="AC94" s="11" t="s">
        <v>12</v>
      </c>
      <c r="AD94" s="1" t="s">
        <v>2</v>
      </c>
      <c r="AE94" s="1" t="s">
        <v>2</v>
      </c>
      <c r="AF94" s="11" t="s">
        <v>12</v>
      </c>
      <c r="AG94" s="24" t="s">
        <v>2</v>
      </c>
      <c r="AI94" s="8" t="s">
        <v>12</v>
      </c>
    </row>
    <row r="95" spans="13:35" ht="12.75">
      <c r="M95" s="11" t="s">
        <v>14</v>
      </c>
      <c r="N95" s="15" t="s">
        <v>1</v>
      </c>
      <c r="O95" s="1" t="s">
        <v>8</v>
      </c>
      <c r="P95" s="1" t="s">
        <v>3</v>
      </c>
      <c r="Q95" s="11" t="s">
        <v>14</v>
      </c>
      <c r="R95" s="1" t="s">
        <v>3</v>
      </c>
      <c r="S95" s="1" t="s">
        <v>4</v>
      </c>
      <c r="T95" s="11" t="s">
        <v>14</v>
      </c>
      <c r="U95" s="15" t="s">
        <v>4</v>
      </c>
      <c r="V95" s="1" t="s">
        <v>5</v>
      </c>
      <c r="W95" s="11" t="s">
        <v>14</v>
      </c>
      <c r="X95" s="1" t="s">
        <v>5</v>
      </c>
      <c r="Y95" s="1" t="s">
        <v>6</v>
      </c>
      <c r="Z95" s="11" t="s">
        <v>14</v>
      </c>
      <c r="AA95" s="24" t="s">
        <v>6</v>
      </c>
      <c r="AB95" s="1" t="s">
        <v>11</v>
      </c>
      <c r="AC95" s="11" t="s">
        <v>14</v>
      </c>
      <c r="AD95" s="1" t="s">
        <v>11</v>
      </c>
      <c r="AE95" s="1" t="s">
        <v>9</v>
      </c>
      <c r="AF95" s="11" t="s">
        <v>14</v>
      </c>
      <c r="AG95" s="24" t="s">
        <v>9</v>
      </c>
      <c r="AI95" s="8" t="s">
        <v>13</v>
      </c>
    </row>
    <row r="96" spans="11:35" ht="12.75">
      <c r="K96" s="1" t="s">
        <v>16</v>
      </c>
      <c r="L96" s="19" t="s">
        <v>20</v>
      </c>
      <c r="N96" s="15" t="s">
        <v>16</v>
      </c>
      <c r="P96" s="1" t="s">
        <v>15</v>
      </c>
      <c r="Q96" s="11"/>
      <c r="R96" s="1" t="s">
        <v>16</v>
      </c>
      <c r="S96" s="1" t="s">
        <v>15</v>
      </c>
      <c r="T96" s="11"/>
      <c r="U96" s="15" t="s">
        <v>16</v>
      </c>
      <c r="V96" s="1" t="s">
        <v>15</v>
      </c>
      <c r="X96" s="11" t="s">
        <v>64</v>
      </c>
      <c r="Y96" s="1" t="s">
        <v>15</v>
      </c>
      <c r="AA96" s="24" t="s">
        <v>64</v>
      </c>
      <c r="AB96" s="1" t="s">
        <v>15</v>
      </c>
      <c r="AD96" s="24" t="s">
        <v>64</v>
      </c>
      <c r="AE96" s="1" t="s">
        <v>15</v>
      </c>
      <c r="AF96" s="11"/>
      <c r="AG96" s="24" t="s">
        <v>15</v>
      </c>
      <c r="AI96" s="8" t="s">
        <v>17</v>
      </c>
    </row>
    <row r="97" spans="11:35" ht="12.75">
      <c r="K97" s="3" t="s">
        <v>22</v>
      </c>
      <c r="L97" s="20"/>
      <c r="M97" s="22"/>
      <c r="N97" s="16" t="s">
        <v>21</v>
      </c>
      <c r="O97" s="3" t="s">
        <v>19</v>
      </c>
      <c r="P97" s="4">
        <f>3/1.609344</f>
        <v>1.8641135767120018</v>
      </c>
      <c r="Q97" s="12"/>
      <c r="R97" s="3">
        <f>3/1.609344</f>
        <v>1.8641135767120018</v>
      </c>
      <c r="S97" s="4">
        <f>5/1.609344</f>
        <v>3.1068559611866697</v>
      </c>
      <c r="T97" s="12"/>
      <c r="U97" s="16">
        <f>5/1.609344</f>
        <v>3.1068559611866697</v>
      </c>
      <c r="V97" s="4">
        <f>10/1.609344</f>
        <v>6.2137119223733395</v>
      </c>
      <c r="W97" s="22"/>
      <c r="X97" s="3">
        <f>10/1.609344</f>
        <v>6.2137119223733395</v>
      </c>
      <c r="Y97" s="4">
        <f>20/1.609344</f>
        <v>12.427423844746679</v>
      </c>
      <c r="Z97" s="22"/>
      <c r="AA97" s="25">
        <f>20/1.609344</f>
        <v>12.427423844746679</v>
      </c>
      <c r="AB97" s="4">
        <v>26.21875</v>
      </c>
      <c r="AC97" s="22"/>
      <c r="AD97" s="3">
        <v>26.21875</v>
      </c>
      <c r="AE97" s="4">
        <f>50/1.609344</f>
        <v>31.068559611866696</v>
      </c>
      <c r="AF97" s="12"/>
      <c r="AG97" s="25">
        <f>50/1.609344</f>
        <v>31.068559611866696</v>
      </c>
      <c r="AH97" s="4" t="s">
        <v>10</v>
      </c>
      <c r="AI97" s="8" t="s">
        <v>18</v>
      </c>
    </row>
  </sheetData>
  <printOptions/>
  <pageMargins left="1.25" right="0.5" top="0.25" bottom="0.25" header="0.5" footer="0.5"/>
  <pageSetup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Nevada Bureau of Mines and Geology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Jon Price</dc:creator>
  <cp:keywords/>
  <dc:description/>
  <cp:lastModifiedBy>jprice</cp:lastModifiedBy>
  <cp:lastPrinted>2007-04-15T20:22:51Z</cp:lastPrinted>
  <dcterms:created xsi:type="dcterms:W3CDTF">2005-05-26T14:08:50Z</dcterms:created>
  <dcterms:modified xsi:type="dcterms:W3CDTF">2007-04-15T20:31:52Z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